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ções" sheetId="1" state="visible" r:id="rId1"/>
    <sheet name="Dados Mensais" sheetId="2" state="visible" r:id="rId2"/>
    <sheet name="Cálculos" sheetId="3" state="visible" r:id="rId3"/>
    <sheet name="Simulador de Cenário" sheetId="4" state="visible" r:id="rId4"/>
    <sheet name="Dashboard" sheetId="5" state="visible" r:id="rId5"/>
    <sheet name="Memória de Cálculo" sheetId="6" state="visible" r:id="rId6"/>
    <sheet name="Tabelas MP 1.399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0.00%;[Red]-0.00%"/>
    <numFmt numFmtId="165" formatCode="&quot;R$&quot; #,##0.00;[Red]-&quot;R$&quot; #,##0.00"/>
    <numFmt numFmtId="166" formatCode="0.00&quot; p.p.&quot;;[Red]-0.00&quot; p.p.&quot;"/>
    <numFmt numFmtId="167" formatCode="mm/yyyy"/>
    <numFmt numFmtId="168" formatCode="yyyy-mm-dd"/>
  </numFmts>
  <fonts count="5">
    <font>
      <name val="Calibri"/>
      <family val="2"/>
      <color theme="1"/>
      <sz val="11"/>
      <scheme val="minor"/>
    </font>
    <font>
      <b val="1"/>
      <color rgb="000F766E"/>
      <sz val="14"/>
    </font>
    <font>
      <b val="1"/>
    </font>
    <font>
      <i val="1"/>
      <color rgb="0064748B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EF9C3"/>
      </patternFill>
    </fill>
    <fill>
      <patternFill patternType="solid">
        <fgColor rgb="00CCFBF1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2" borderId="1" applyAlignment="1" pivotButton="0" quotePrefix="0" xfId="0">
      <alignment horizontal="center" vertical="center" wrapText="1"/>
    </xf>
    <xf numFmtId="167" fontId="0" fillId="3" borderId="1" pivotButton="0" quotePrefix="0" xfId="0"/>
    <xf numFmtId="0" fontId="0" fillId="3" borderId="1" pivotButton="0" quotePrefix="0" xfId="0"/>
    <xf numFmtId="165" fontId="0" fillId="3" borderId="1" pivotButton="0" quotePrefix="0" xfId="0"/>
    <xf numFmtId="164" fontId="0" fillId="3" borderId="1" pivotButton="0" quotePrefix="0" xfId="0"/>
    <xf numFmtId="0" fontId="3" fillId="0" borderId="0" pivotButton="0" quotePrefix="0" xfId="0"/>
    <xf numFmtId="167" fontId="0" fillId="0" borderId="1" pivotButton="0" quotePrefix="0" xfId="0"/>
    <xf numFmtId="0" fontId="0" fillId="0" borderId="1" pivotButton="0" quotePrefix="0" xfId="0"/>
    <xf numFmtId="165" fontId="0" fillId="0" borderId="1" pivotButton="0" quotePrefix="0" xfId="0"/>
    <xf numFmtId="164" fontId="0" fillId="0" borderId="1" pivotButton="0" quotePrefix="0" xfId="0"/>
    <xf numFmtId="0" fontId="2" fillId="0" borderId="0" pivotButton="0" quotePrefix="0" xfId="0"/>
    <xf numFmtId="165" fontId="2" fillId="4" borderId="0" pivotButton="0" quotePrefix="0" xfId="0"/>
    <xf numFmtId="0" fontId="1" fillId="0" borderId="0" pivotButton="0" quotePrefix="0" xfId="0"/>
    <xf numFmtId="2" fontId="0" fillId="0" borderId="1" pivotButton="0" quotePrefix="0" xfId="0"/>
    <xf numFmtId="0" fontId="2" fillId="0" borderId="1" pivotButton="0" quotePrefix="0" xfId="0"/>
    <xf numFmtId="164" fontId="2" fillId="4" borderId="1" pivotButton="0" quotePrefix="0" xfId="0"/>
    <xf numFmtId="165" fontId="2" fillId="4" borderId="1" pivotButton="0" quotePrefix="0" xfId="0"/>
    <xf numFmtId="0" fontId="0" fillId="0" borderId="1" applyAlignment="1" pivotButton="0" quotePrefix="0" xfId="0">
      <alignment vertical="top" wrapText="1"/>
    </xf>
    <xf numFmtId="165" fontId="0" fillId="4" borderId="0" pivotButton="0" quotePrefix="0" xfId="0"/>
    <xf numFmtId="165" fontId="0" fillId="0" borderId="0" pivotButton="0" quotePrefix="0" xfId="0"/>
    <xf numFmtId="164" fontId="0" fillId="0" borderId="0" pivotButton="0" quotePrefix="0" xfId="0"/>
    <xf numFmtId="9" fontId="0" fillId="0" borderId="1" pivotButton="0" quotePrefix="0" xfId="0"/>
    <xf numFmtId="166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IS estimado por mês (2027)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'Dashboard'!F7</f>
            </strRef>
          </tx>
          <spPr>
            <a:ln>
              <a:prstDash val="solid"/>
            </a:ln>
          </spPr>
          <cat>
            <numRef>
              <f>'Dashboard'!$E$8:$E$19</f>
            </numRef>
          </cat>
          <val>
            <numRef>
              <f>'Dashboard'!$F$8:$F$19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R$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26</row>
      <rowOff>0</rowOff>
    </from>
    <ext cx="6480000" cy="288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25"/>
  <sheetViews>
    <sheetView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2">
      <c r="B2" s="1" t="inlineStr">
        <is>
          <t>ADLabCont — Simulador do Imposto Seletivo (IS) em 2027</t>
        </is>
      </c>
    </row>
    <row r="3">
      <c r="B3" s="2" t="inlineStr">
        <is>
          <t>Calcula o Imposto Seletivo das operações da empresa com as alíquotas que a Medida Provisória nº 1.399, de 4 de novembro de 2026, fixou para 2027, e simula a alíquota de um veículo pelos cinco critérios da MP.</t>
        </is>
      </c>
    </row>
    <row r="4">
      <c r="B4" s="2" t="inlineStr"/>
    </row>
    <row r="5">
      <c r="B5" s="3" t="inlineStr">
        <is>
          <t>PARA QUE SERVE</t>
        </is>
      </c>
    </row>
    <row r="6">
      <c r="B6" s="2" t="inlineStr">
        <is>
          <t>• Estimar quanto de IS cada venda de bebida, fumígeno, aeronave, embarcação ou veículo vai gerar a partir de fevereiro de 2027.</t>
        </is>
      </c>
    </row>
    <row r="7">
      <c r="B7" s="2" t="inlineStr">
        <is>
          <t>• Ver o efeito da redução para pequenos produtores de bebidas alcoólicas (Anexo VI da MP).</t>
        </is>
      </c>
    </row>
    <row r="8">
      <c r="B8" s="2" t="inlineStr">
        <is>
          <t>• Comparar a alíquota de dois veículos (por exemplo, a versão a gasolina e a versão híbrida flex do mesmo modelo).</t>
        </is>
      </c>
    </row>
    <row r="9">
      <c r="B9" s="2" t="inlineStr">
        <is>
          <t>• Levar ao preço de venda o imposto que passa a existir, mês a mês.</t>
        </is>
      </c>
    </row>
    <row r="10">
      <c r="B10" s="2" t="inlineStr"/>
    </row>
    <row r="11">
      <c r="B11" s="3" t="inlineStr">
        <is>
          <t>COMO USAR</t>
        </is>
      </c>
    </row>
    <row r="12">
      <c r="B12" s="2" t="inlineStr">
        <is>
          <t>1. Faça uma cópia do arquivo antes de editar.</t>
        </is>
      </c>
    </row>
    <row r="13">
      <c r="B13" s="2" t="inlineStr">
        <is>
          <t>2. Se vende veículos, monte o veículo na aba 'Simulador de Cenário' (células amarelas) e anote a alíquota final.</t>
        </is>
      </c>
    </row>
    <row r="14">
      <c r="B14" s="2" t="inlineStr">
        <is>
          <t>3. Na aba 'Dados Mensais', substitua as operações de exemplo pelas suas: mês, produto, base de cálculo e, se for o caso, a faixa de pequeno produtor, a quantidade de vintenas (cigarros) ou a alíquota do veículo. Cabem 40 linhas.</t>
        </is>
      </c>
    </row>
    <row r="15">
      <c r="B15" s="2" t="inlineStr">
        <is>
          <t>4. A aba 'Cálculos' aplica a alíquota da tabela da MP a cada operação; a aba 'Dashboard' soma por produto e por mês.</t>
        </is>
      </c>
    </row>
    <row r="16">
      <c r="B16" s="2" t="inlineStr">
        <is>
          <t>5. A aba 'Tabelas MP 1.399' traz os números usados, com o anexo de origem; a aba 'Memória de Cálculo' explica cada fórmula.</t>
        </is>
      </c>
    </row>
    <row r="17">
      <c r="B17" s="2" t="inlineStr"/>
    </row>
    <row r="18">
      <c r="B18" s="3" t="inlineStr">
        <is>
          <t>CUIDADOS</t>
        </is>
      </c>
    </row>
    <row r="19">
      <c r="B19" s="2" t="inlineStr">
        <is>
          <t>• A MP 1.399/2026 é uma medida provisória. Pelo art. 62, § 2º, da Constituição, ela só produz efeitos em 2027 se for convertida em lei até 31/12/2026. Se o Congresso mudar as alíquotas, esta planilha precisa ser atualizada.</t>
        </is>
      </c>
    </row>
    <row r="20">
      <c r="B20" s="2" t="inlineStr">
        <is>
          <t>• A planilha NÃO calcula a base de cálculo: informe o valor tributável de cada operação. A base do IS segue a Lei Complementar nº 214/2025; para fumígenos, o art. 6º, I, da MP define o valor de referência (15% do preço de varejo, quando o preço é tabelado).</t>
        </is>
      </c>
    </row>
    <row r="21">
      <c r="B21" s="2" t="inlineStr">
        <is>
          <t>• Valem as alíquotas de 2027 (de 02/02/2027 até a lei prevista no art. 15 da MP). Para 2028, o governo deve enviar novo projeto de lei até 31/05/2027.</t>
        </is>
      </c>
    </row>
    <row r="22">
      <c r="B22" s="2" t="inlineStr">
        <is>
          <t>• Casos de alíquota zero ou não incidência (veículos para PcD/TEA e táxi, veículos sustentáveis, caminhões, uso militar, exportação) não são aplicados automaticamente: se a operação se enquadrar, não a lance ou informe alíquota 0.</t>
        </is>
      </c>
    </row>
    <row r="23">
      <c r="B23" s="2" t="inlineStr">
        <is>
          <t>• Se a alíquota inicial de um veículo ficar zero ou negativa, a planilha mostra alerta: a MP não diz como tratar esse caso.</t>
        </is>
      </c>
    </row>
    <row r="24">
      <c r="B24" s="2" t="inlineStr"/>
    </row>
    <row r="25">
      <c r="B25" s="4" t="inlineStr">
        <is>
          <t>Material educativo. Não substitui a apuração oficial nem a análise de um profissional habilitado. Última atualização: 07/11/2026.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46" customWidth="1" min="2" max="2"/>
    <col width="50" customWidth="1" min="3" max="3"/>
    <col width="18" customWidth="1" min="4" max="4"/>
    <col width="34" customWidth="1" min="5" max="5"/>
    <col width="14" customWidth="1" min="6" max="6"/>
    <col width="18" customWidth="1" min="7" max="7"/>
  </cols>
  <sheetData>
    <row r="1">
      <c r="A1" s="5" t="inlineStr">
        <is>
          <t>Mês</t>
        </is>
      </c>
      <c r="B1" s="5" t="inlineStr">
        <is>
          <t>Descrição da operação</t>
        </is>
      </c>
      <c r="C1" s="5" t="inlineStr">
        <is>
          <t>Produto</t>
        </is>
      </c>
      <c r="D1" s="5" t="inlineStr">
        <is>
          <t>Base de cálculo (R$)</t>
        </is>
      </c>
      <c r="E1" s="5" t="inlineStr">
        <is>
          <t>Faixa de pequeno produtor</t>
        </is>
      </c>
      <c r="F1" s="5" t="inlineStr">
        <is>
          <t>Vintenas (só cigarros)</t>
        </is>
      </c>
      <c r="G1" s="5" t="inlineStr">
        <is>
          <t>Alíquota informada (só veículos)</t>
        </is>
      </c>
    </row>
    <row r="2">
      <c r="A2" s="6" t="n">
        <v>46419</v>
      </c>
      <c r="B2" s="7" t="inlineStr">
        <is>
          <t>Venda de refrigerantes — distribuidor A</t>
        </is>
      </c>
      <c r="C2" s="7" t="inlineStr">
        <is>
          <t>Bebidas açucaradas (NCM 2202.10.00)</t>
        </is>
      </c>
      <c r="D2" s="8" t="n">
        <v>180000</v>
      </c>
      <c r="E2" s="7" t="inlineStr">
        <is>
          <t>Não se aplica</t>
        </is>
      </c>
      <c r="F2" s="7" t="n"/>
      <c r="G2" s="9" t="n"/>
    </row>
    <row r="3">
      <c r="A3" s="6" t="n">
        <v>46419</v>
      </c>
      <c r="B3" s="7" t="inlineStr">
        <is>
          <t>Venda de cerveja artesanal — lote 12</t>
        </is>
      </c>
      <c r="C3" s="7" t="inlineStr">
        <is>
          <t>Cervejas de malte (NCM 22.03)</t>
        </is>
      </c>
      <c r="D3" s="8" t="n">
        <v>60000</v>
      </c>
      <c r="E3" s="7" t="inlineStr">
        <is>
          <t>Até 50.000 litros de álcool</t>
        </is>
      </c>
      <c r="F3" s="7" t="n"/>
      <c r="G3" s="9" t="n"/>
    </row>
    <row r="4">
      <c r="A4" s="6" t="n">
        <v>46419</v>
      </c>
      <c r="B4" s="7" t="inlineStr">
        <is>
          <t>Venda de cachaça — atacado</t>
        </is>
      </c>
      <c r="C4" s="7" t="inlineStr">
        <is>
          <t>Rum e aguardentes de cana (2208.40.00, exceto de melaço)</t>
        </is>
      </c>
      <c r="D4" s="8" t="n">
        <v>40000</v>
      </c>
      <c r="E4" s="7" t="inlineStr">
        <is>
          <t>Acima de 50.000 até 125.000 litros</t>
        </is>
      </c>
      <c r="F4" s="7" t="n"/>
      <c r="G4" s="9" t="n"/>
    </row>
    <row r="5">
      <c r="A5" s="6" t="n">
        <v>46447</v>
      </c>
      <c r="B5" s="7" t="inlineStr">
        <is>
          <t>Venda de refrigerantes — distribuidor A</t>
        </is>
      </c>
      <c r="C5" s="7" t="inlineStr">
        <is>
          <t>Bebidas açucaradas (NCM 2202.10.00)</t>
        </is>
      </c>
      <c r="D5" s="8" t="n">
        <v>195000</v>
      </c>
      <c r="E5" s="7" t="inlineStr">
        <is>
          <t>Não se aplica</t>
        </is>
      </c>
      <c r="F5" s="7" t="n"/>
      <c r="G5" s="9" t="n"/>
    </row>
    <row r="6">
      <c r="A6" s="6" t="n">
        <v>46447</v>
      </c>
      <c r="B6" s="7" t="inlineStr">
        <is>
          <t>Venda de cerveja artesanal — lote 13</t>
        </is>
      </c>
      <c r="C6" s="7" t="inlineStr">
        <is>
          <t>Cervejas de malte (NCM 22.03)</t>
        </is>
      </c>
      <c r="D6" s="8" t="n">
        <v>72000</v>
      </c>
      <c r="E6" s="7" t="inlineStr">
        <is>
          <t>Até 50.000 litros de álcool</t>
        </is>
      </c>
      <c r="F6" s="7" t="n"/>
      <c r="G6" s="9" t="n"/>
    </row>
    <row r="7">
      <c r="A7" s="6" t="n">
        <v>46447</v>
      </c>
      <c r="B7" s="7" t="inlineStr">
        <is>
          <t>Venda de automóvel flex (alíquota do cenário A)</t>
        </is>
      </c>
      <c r="C7" s="7" t="inlineStr">
        <is>
          <t>Veículos (alíquota do Simulador)</t>
        </is>
      </c>
      <c r="D7" s="8" t="n">
        <v>95000</v>
      </c>
      <c r="E7" s="7" t="inlineStr">
        <is>
          <t>Não se aplica</t>
        </is>
      </c>
      <c r="F7" s="7" t="n"/>
      <c r="G7" s="9" t="n">
        <v>0.06413000000000001</v>
      </c>
    </row>
    <row r="8">
      <c r="A8" s="6" t="n"/>
      <c r="B8" s="7" t="n"/>
      <c r="C8" s="7" t="n"/>
      <c r="D8" s="8" t="n"/>
      <c r="E8" s="7" t="n"/>
      <c r="F8" s="7" t="n"/>
      <c r="G8" s="9" t="n"/>
    </row>
    <row r="9">
      <c r="A9" s="6" t="n"/>
      <c r="B9" s="7" t="n"/>
      <c r="C9" s="7" t="n"/>
      <c r="D9" s="8" t="n"/>
      <c r="E9" s="7" t="n"/>
      <c r="F9" s="7" t="n"/>
      <c r="G9" s="9" t="n"/>
    </row>
    <row r="10">
      <c r="A10" s="6" t="n"/>
      <c r="B10" s="7" t="n"/>
      <c r="C10" s="7" t="n"/>
      <c r="D10" s="8" t="n"/>
      <c r="E10" s="7" t="n"/>
      <c r="F10" s="7" t="n"/>
      <c r="G10" s="9" t="n"/>
    </row>
    <row r="11">
      <c r="A11" s="6" t="n"/>
      <c r="B11" s="7" t="n"/>
      <c r="C11" s="7" t="n"/>
      <c r="D11" s="8" t="n"/>
      <c r="E11" s="7" t="n"/>
      <c r="F11" s="7" t="n"/>
      <c r="G11" s="9" t="n"/>
    </row>
    <row r="12">
      <c r="A12" s="6" t="n"/>
      <c r="B12" s="7" t="n"/>
      <c r="C12" s="7" t="n"/>
      <c r="D12" s="8" t="n"/>
      <c r="E12" s="7" t="n"/>
      <c r="F12" s="7" t="n"/>
      <c r="G12" s="9" t="n"/>
    </row>
    <row r="13">
      <c r="A13" s="6" t="n"/>
      <c r="B13" s="7" t="n"/>
      <c r="C13" s="7" t="n"/>
      <c r="D13" s="8" t="n"/>
      <c r="E13" s="7" t="n"/>
      <c r="F13" s="7" t="n"/>
      <c r="G13" s="9" t="n"/>
    </row>
    <row r="14">
      <c r="A14" s="6" t="n"/>
      <c r="B14" s="7" t="n"/>
      <c r="C14" s="7" t="n"/>
      <c r="D14" s="8" t="n"/>
      <c r="E14" s="7" t="n"/>
      <c r="F14" s="7" t="n"/>
      <c r="G14" s="9" t="n"/>
    </row>
    <row r="15">
      <c r="A15" s="6" t="n"/>
      <c r="B15" s="7" t="n"/>
      <c r="C15" s="7" t="n"/>
      <c r="D15" s="8" t="n"/>
      <c r="E15" s="7" t="n"/>
      <c r="F15" s="7" t="n"/>
      <c r="G15" s="9" t="n"/>
    </row>
    <row r="16">
      <c r="A16" s="6" t="n"/>
      <c r="B16" s="7" t="n"/>
      <c r="C16" s="7" t="n"/>
      <c r="D16" s="8" t="n"/>
      <c r="E16" s="7" t="n"/>
      <c r="F16" s="7" t="n"/>
      <c r="G16" s="9" t="n"/>
    </row>
    <row r="17">
      <c r="A17" s="6" t="n"/>
      <c r="B17" s="7" t="n"/>
      <c r="C17" s="7" t="n"/>
      <c r="D17" s="8" t="n"/>
      <c r="E17" s="7" t="n"/>
      <c r="F17" s="7" t="n"/>
      <c r="G17" s="9" t="n"/>
    </row>
    <row r="18">
      <c r="A18" s="6" t="n"/>
      <c r="B18" s="7" t="n"/>
      <c r="C18" s="7" t="n"/>
      <c r="D18" s="8" t="n"/>
      <c r="E18" s="7" t="n"/>
      <c r="F18" s="7" t="n"/>
      <c r="G18" s="9" t="n"/>
    </row>
    <row r="19">
      <c r="A19" s="6" t="n"/>
      <c r="B19" s="7" t="n"/>
      <c r="C19" s="7" t="n"/>
      <c r="D19" s="8" t="n"/>
      <c r="E19" s="7" t="n"/>
      <c r="F19" s="7" t="n"/>
      <c r="G19" s="9" t="n"/>
    </row>
    <row r="20">
      <c r="A20" s="6" t="n"/>
      <c r="B20" s="7" t="n"/>
      <c r="C20" s="7" t="n"/>
      <c r="D20" s="8" t="n"/>
      <c r="E20" s="7" t="n"/>
      <c r="F20" s="7" t="n"/>
      <c r="G20" s="9" t="n"/>
    </row>
    <row r="21">
      <c r="A21" s="6" t="n"/>
      <c r="B21" s="7" t="n"/>
      <c r="C21" s="7" t="n"/>
      <c r="D21" s="8" t="n"/>
      <c r="E21" s="7" t="n"/>
      <c r="F21" s="7" t="n"/>
      <c r="G21" s="9" t="n"/>
    </row>
    <row r="22">
      <c r="A22" s="6" t="n"/>
      <c r="B22" s="7" t="n"/>
      <c r="C22" s="7" t="n"/>
      <c r="D22" s="8" t="n"/>
      <c r="E22" s="7" t="n"/>
      <c r="F22" s="7" t="n"/>
      <c r="G22" s="9" t="n"/>
    </row>
    <row r="23">
      <c r="A23" s="6" t="n"/>
      <c r="B23" s="7" t="n"/>
      <c r="C23" s="7" t="n"/>
      <c r="D23" s="8" t="n"/>
      <c r="E23" s="7" t="n"/>
      <c r="F23" s="7" t="n"/>
      <c r="G23" s="9" t="n"/>
    </row>
    <row r="24">
      <c r="A24" s="6" t="n"/>
      <c r="B24" s="7" t="n"/>
      <c r="C24" s="7" t="n"/>
      <c r="D24" s="8" t="n"/>
      <c r="E24" s="7" t="n"/>
      <c r="F24" s="7" t="n"/>
      <c r="G24" s="9" t="n"/>
    </row>
    <row r="25">
      <c r="A25" s="6" t="n"/>
      <c r="B25" s="7" t="n"/>
      <c r="C25" s="7" t="n"/>
      <c r="D25" s="8" t="n"/>
      <c r="E25" s="7" t="n"/>
      <c r="F25" s="7" t="n"/>
      <c r="G25" s="9" t="n"/>
    </row>
    <row r="26">
      <c r="A26" s="6" t="n"/>
      <c r="B26" s="7" t="n"/>
      <c r="C26" s="7" t="n"/>
      <c r="D26" s="8" t="n"/>
      <c r="E26" s="7" t="n"/>
      <c r="F26" s="7" t="n"/>
      <c r="G26" s="9" t="n"/>
    </row>
    <row r="27">
      <c r="A27" s="6" t="n"/>
      <c r="B27" s="7" t="n"/>
      <c r="C27" s="7" t="n"/>
      <c r="D27" s="8" t="n"/>
      <c r="E27" s="7" t="n"/>
      <c r="F27" s="7" t="n"/>
      <c r="G27" s="9" t="n"/>
    </row>
    <row r="28">
      <c r="A28" s="6" t="n"/>
      <c r="B28" s="7" t="n"/>
      <c r="C28" s="7" t="n"/>
      <c r="D28" s="8" t="n"/>
      <c r="E28" s="7" t="n"/>
      <c r="F28" s="7" t="n"/>
      <c r="G28" s="9" t="n"/>
    </row>
    <row r="29">
      <c r="A29" s="6" t="n"/>
      <c r="B29" s="7" t="n"/>
      <c r="C29" s="7" t="n"/>
      <c r="D29" s="8" t="n"/>
      <c r="E29" s="7" t="n"/>
      <c r="F29" s="7" t="n"/>
      <c r="G29" s="9" t="n"/>
    </row>
    <row r="30">
      <c r="A30" s="6" t="n"/>
      <c r="B30" s="7" t="n"/>
      <c r="C30" s="7" t="n"/>
      <c r="D30" s="8" t="n"/>
      <c r="E30" s="7" t="n"/>
      <c r="F30" s="7" t="n"/>
      <c r="G30" s="9" t="n"/>
    </row>
    <row r="31">
      <c r="A31" s="6" t="n"/>
      <c r="B31" s="7" t="n"/>
      <c r="C31" s="7" t="n"/>
      <c r="D31" s="8" t="n"/>
      <c r="E31" s="7" t="n"/>
      <c r="F31" s="7" t="n"/>
      <c r="G31" s="9" t="n"/>
    </row>
    <row r="32">
      <c r="A32" s="6" t="n"/>
      <c r="B32" s="7" t="n"/>
      <c r="C32" s="7" t="n"/>
      <c r="D32" s="8" t="n"/>
      <c r="E32" s="7" t="n"/>
      <c r="F32" s="7" t="n"/>
      <c r="G32" s="9" t="n"/>
    </row>
    <row r="33">
      <c r="A33" s="6" t="n"/>
      <c r="B33" s="7" t="n"/>
      <c r="C33" s="7" t="n"/>
      <c r="D33" s="8" t="n"/>
      <c r="E33" s="7" t="n"/>
      <c r="F33" s="7" t="n"/>
      <c r="G33" s="9" t="n"/>
    </row>
    <row r="34">
      <c r="A34" s="6" t="n"/>
      <c r="B34" s="7" t="n"/>
      <c r="C34" s="7" t="n"/>
      <c r="D34" s="8" t="n"/>
      <c r="E34" s="7" t="n"/>
      <c r="F34" s="7" t="n"/>
      <c r="G34" s="9" t="n"/>
    </row>
    <row r="35">
      <c r="A35" s="6" t="n"/>
      <c r="B35" s="7" t="n"/>
      <c r="C35" s="7" t="n"/>
      <c r="D35" s="8" t="n"/>
      <c r="E35" s="7" t="n"/>
      <c r="F35" s="7" t="n"/>
      <c r="G35" s="9" t="n"/>
    </row>
    <row r="36">
      <c r="A36" s="6" t="n"/>
      <c r="B36" s="7" t="n"/>
      <c r="C36" s="7" t="n"/>
      <c r="D36" s="8" t="n"/>
      <c r="E36" s="7" t="n"/>
      <c r="F36" s="7" t="n"/>
      <c r="G36" s="9" t="n"/>
    </row>
    <row r="37">
      <c r="A37" s="6" t="n"/>
      <c r="B37" s="7" t="n"/>
      <c r="C37" s="7" t="n"/>
      <c r="D37" s="8" t="n"/>
      <c r="E37" s="7" t="n"/>
      <c r="F37" s="7" t="n"/>
      <c r="G37" s="9" t="n"/>
    </row>
    <row r="38">
      <c r="A38" s="6" t="n"/>
      <c r="B38" s="7" t="n"/>
      <c r="C38" s="7" t="n"/>
      <c r="D38" s="8" t="n"/>
      <c r="E38" s="7" t="n"/>
      <c r="F38" s="7" t="n"/>
      <c r="G38" s="9" t="n"/>
    </row>
    <row r="39">
      <c r="A39" s="6" t="n"/>
      <c r="B39" s="7" t="n"/>
      <c r="C39" s="7" t="n"/>
      <c r="D39" s="8" t="n"/>
      <c r="E39" s="7" t="n"/>
      <c r="F39" s="7" t="n"/>
      <c r="G39" s="9" t="n"/>
    </row>
    <row r="40">
      <c r="A40" s="6" t="n"/>
      <c r="B40" s="7" t="n"/>
      <c r="C40" s="7" t="n"/>
      <c r="D40" s="8" t="n"/>
      <c r="E40" s="7" t="n"/>
      <c r="F40" s="7" t="n"/>
      <c r="G40" s="9" t="n"/>
    </row>
    <row r="41">
      <c r="A41" s="6" t="n"/>
      <c r="B41" s="7" t="n"/>
      <c r="C41" s="7" t="n"/>
      <c r="D41" s="8" t="n"/>
      <c r="E41" s="7" t="n"/>
      <c r="F41" s="7" t="n"/>
      <c r="G41" s="9" t="n"/>
    </row>
    <row r="43">
      <c r="A43" s="10" t="inlineStr">
        <is>
          <t>Exemplos fictícios. Mês: informe o primeiro dia do mês (ex.: 01/03/2027). Para veículos, copie a alíquota final do Simulador.</t>
        </is>
      </c>
    </row>
  </sheetData>
  <dataValidations count="2">
    <dataValidation sqref="C2:C41" showDropDown="0" showInputMessage="0" showErrorMessage="0" allowBlank="1" type="list">
      <formula1>='Tabelas MP 1.399'!$A$4:$A$20</formula1>
    </dataValidation>
    <dataValidation sqref="E2:E41" showDropDown="0" showInputMessage="0" showErrorMessage="0" allowBlank="1" type="list">
      <formula1>='Tabelas MP 1.399'!$G$4:$G$7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0" customWidth="1" min="2" max="2"/>
    <col width="16" customWidth="1" min="3" max="3"/>
    <col width="14" customWidth="1" min="4" max="4"/>
    <col width="14" customWidth="1" min="5" max="5"/>
    <col width="14" customWidth="1" min="6" max="6"/>
    <col width="14" customWidth="1" min="7" max="7"/>
    <col width="16" customWidth="1" min="8" max="8"/>
    <col width="16" customWidth="1" min="9" max="9"/>
    <col width="16" customWidth="1" min="10" max="10"/>
    <col width="44" customWidth="1" min="11" max="11"/>
    <col width="12" customWidth="1" min="12" max="12"/>
  </cols>
  <sheetData>
    <row r="1">
      <c r="A1" s="5" t="inlineStr">
        <is>
          <t>Mês</t>
        </is>
      </c>
      <c r="B1" s="5" t="inlineStr">
        <is>
          <t>Produto</t>
        </is>
      </c>
      <c r="C1" s="5" t="inlineStr">
        <is>
          <t>Base (R$)</t>
        </is>
      </c>
      <c r="D1" s="5" t="inlineStr">
        <is>
          <t>Alíquota da tabela</t>
        </is>
      </c>
      <c r="E1" s="5" t="inlineStr">
        <is>
          <t>Alíquota usada</t>
        </is>
      </c>
      <c r="F1" s="5" t="inlineStr">
        <is>
          <t>Redução pequeno produtor</t>
        </is>
      </c>
      <c r="G1" s="5" t="inlineStr">
        <is>
          <t>Alíquota efetiva</t>
        </is>
      </c>
      <c r="H1" s="5" t="inlineStr">
        <is>
          <t>IS ad valorem (R$)</t>
        </is>
      </c>
      <c r="I1" s="5" t="inlineStr">
        <is>
          <t>IS específico (R$)</t>
        </is>
      </c>
      <c r="J1" s="5" t="inlineStr">
        <is>
          <t>IS total (R$)</t>
        </is>
      </c>
      <c r="K1" s="5" t="inlineStr">
        <is>
          <t>Aviso</t>
        </is>
      </c>
      <c r="L1" t="inlineStr">
        <is>
          <t>Chave do mês (auxiliar)</t>
        </is>
      </c>
    </row>
    <row r="2">
      <c r="A2" s="11">
        <f>IF('Dados Mensais'!A2="","",'Dados Mensais'!A2)</f>
        <v/>
      </c>
      <c r="B2" s="12">
        <f>IF('Dados Mensais'!C2="","",'Dados Mensais'!C2)</f>
        <v/>
      </c>
      <c r="C2" s="13">
        <f>IF('Dados Mensais'!C2="",0,N('Dados Mensais'!D2))</f>
        <v/>
      </c>
      <c r="D2" s="14">
        <f>IF(B2="",0,IF(B2="Veículos (alíquota do Simulador)",0,VLOOKUP(B2,'Tabelas MP 1.399'!$A$4:$E$20,2,FALSE)))</f>
        <v/>
      </c>
      <c r="E2" s="14">
        <f>IF(B2="Veículos (alíquota do Simulador)",N('Dados Mensais'!G2),D2)</f>
        <v/>
      </c>
      <c r="F2" s="14">
        <f>IF(B2="",0,IF(VLOOKUP(B2,'Tabelas MP 1.399'!$A$4:$E$20,4,FALSE)="Sim",IFERROR(VLOOKUP('Dados Mensais'!E2,'Tabelas MP 1.399'!$G$4:$H$7,2,FALSE),0),0))</f>
        <v/>
      </c>
      <c r="G2" s="14">
        <f>E2*(1-F2)</f>
        <v/>
      </c>
      <c r="H2" s="13">
        <f>C2*G2</f>
        <v/>
      </c>
      <c r="I2" s="13">
        <f>IF(B2="",0,N('Dados Mensais'!F2)*VLOOKUP(B2,'Tabelas MP 1.399'!$A$4:$E$20,3,FALSE))</f>
        <v/>
      </c>
      <c r="J2" s="13">
        <f>H2+I2</f>
        <v/>
      </c>
      <c r="K2" s="12">
        <f>IF(B2="","",IF(AND(B2="Veículos (alíquota do Simulador)",N('Dados Mensais'!G2)=0),"Informe a alíquota do Simulador",IF(AND(VLOOKUP(B2,'Tabelas MP 1.399'!$A$4:$E$20,4,FALSE)&lt;&gt;"Sim",'Dados Mensais'!E2&lt;&gt;"",'Dados Mensais'!E2&lt;&gt;"Não se aplica"),"Redução só vale para bebida alcoólica","")))</f>
        <v/>
      </c>
      <c r="L2">
        <f>IF(A2="",0,YEAR(A2)*100+MONTH(A2))</f>
        <v/>
      </c>
    </row>
    <row r="3">
      <c r="A3" s="11">
        <f>IF('Dados Mensais'!A3="","",'Dados Mensais'!A3)</f>
        <v/>
      </c>
      <c r="B3" s="12">
        <f>IF('Dados Mensais'!C3="","",'Dados Mensais'!C3)</f>
        <v/>
      </c>
      <c r="C3" s="13">
        <f>IF('Dados Mensais'!C3="",0,N('Dados Mensais'!D3))</f>
        <v/>
      </c>
      <c r="D3" s="14">
        <f>IF(B3="",0,IF(B3="Veículos (alíquota do Simulador)",0,VLOOKUP(B3,'Tabelas MP 1.399'!$A$4:$E$20,2,FALSE)))</f>
        <v/>
      </c>
      <c r="E3" s="14">
        <f>IF(B3="Veículos (alíquota do Simulador)",N('Dados Mensais'!G3),D3)</f>
        <v/>
      </c>
      <c r="F3" s="14">
        <f>IF(B3="",0,IF(VLOOKUP(B3,'Tabelas MP 1.399'!$A$4:$E$20,4,FALSE)="Sim",IFERROR(VLOOKUP('Dados Mensais'!E3,'Tabelas MP 1.399'!$G$4:$H$7,2,FALSE),0),0))</f>
        <v/>
      </c>
      <c r="G3" s="14">
        <f>E3*(1-F3)</f>
        <v/>
      </c>
      <c r="H3" s="13">
        <f>C3*G3</f>
        <v/>
      </c>
      <c r="I3" s="13">
        <f>IF(B3="",0,N('Dados Mensais'!F3)*VLOOKUP(B3,'Tabelas MP 1.399'!$A$4:$E$20,3,FALSE))</f>
        <v/>
      </c>
      <c r="J3" s="13">
        <f>H3+I3</f>
        <v/>
      </c>
      <c r="K3" s="12">
        <f>IF(B3="","",IF(AND(B3="Veículos (alíquota do Simulador)",N('Dados Mensais'!G3)=0),"Informe a alíquota do Simulador",IF(AND(VLOOKUP(B3,'Tabelas MP 1.399'!$A$4:$E$20,4,FALSE)&lt;&gt;"Sim",'Dados Mensais'!E3&lt;&gt;"",'Dados Mensais'!E3&lt;&gt;"Não se aplica"),"Redução só vale para bebida alcoólica","")))</f>
        <v/>
      </c>
      <c r="L3">
        <f>IF(A3="",0,YEAR(A3)*100+MONTH(A3))</f>
        <v/>
      </c>
    </row>
    <row r="4">
      <c r="A4" s="11">
        <f>IF('Dados Mensais'!A4="","",'Dados Mensais'!A4)</f>
        <v/>
      </c>
      <c r="B4" s="12">
        <f>IF('Dados Mensais'!C4="","",'Dados Mensais'!C4)</f>
        <v/>
      </c>
      <c r="C4" s="13">
        <f>IF('Dados Mensais'!C4="",0,N('Dados Mensais'!D4))</f>
        <v/>
      </c>
      <c r="D4" s="14">
        <f>IF(B4="",0,IF(B4="Veículos (alíquota do Simulador)",0,VLOOKUP(B4,'Tabelas MP 1.399'!$A$4:$E$20,2,FALSE)))</f>
        <v/>
      </c>
      <c r="E4" s="14">
        <f>IF(B4="Veículos (alíquota do Simulador)",N('Dados Mensais'!G4),D4)</f>
        <v/>
      </c>
      <c r="F4" s="14">
        <f>IF(B4="",0,IF(VLOOKUP(B4,'Tabelas MP 1.399'!$A$4:$E$20,4,FALSE)="Sim",IFERROR(VLOOKUP('Dados Mensais'!E4,'Tabelas MP 1.399'!$G$4:$H$7,2,FALSE),0),0))</f>
        <v/>
      </c>
      <c r="G4" s="14">
        <f>E4*(1-F4)</f>
        <v/>
      </c>
      <c r="H4" s="13">
        <f>C4*G4</f>
        <v/>
      </c>
      <c r="I4" s="13">
        <f>IF(B4="",0,N('Dados Mensais'!F4)*VLOOKUP(B4,'Tabelas MP 1.399'!$A$4:$E$20,3,FALSE))</f>
        <v/>
      </c>
      <c r="J4" s="13">
        <f>H4+I4</f>
        <v/>
      </c>
      <c r="K4" s="12">
        <f>IF(B4="","",IF(AND(B4="Veículos (alíquota do Simulador)",N('Dados Mensais'!G4)=0),"Informe a alíquota do Simulador",IF(AND(VLOOKUP(B4,'Tabelas MP 1.399'!$A$4:$E$20,4,FALSE)&lt;&gt;"Sim",'Dados Mensais'!E4&lt;&gt;"",'Dados Mensais'!E4&lt;&gt;"Não se aplica"),"Redução só vale para bebida alcoólica","")))</f>
        <v/>
      </c>
      <c r="L4">
        <f>IF(A4="",0,YEAR(A4)*100+MONTH(A4))</f>
        <v/>
      </c>
    </row>
    <row r="5">
      <c r="A5" s="11">
        <f>IF('Dados Mensais'!A5="","",'Dados Mensais'!A5)</f>
        <v/>
      </c>
      <c r="B5" s="12">
        <f>IF('Dados Mensais'!C5="","",'Dados Mensais'!C5)</f>
        <v/>
      </c>
      <c r="C5" s="13">
        <f>IF('Dados Mensais'!C5="",0,N('Dados Mensais'!D5))</f>
        <v/>
      </c>
      <c r="D5" s="14">
        <f>IF(B5="",0,IF(B5="Veículos (alíquota do Simulador)",0,VLOOKUP(B5,'Tabelas MP 1.399'!$A$4:$E$20,2,FALSE)))</f>
        <v/>
      </c>
      <c r="E5" s="14">
        <f>IF(B5="Veículos (alíquota do Simulador)",N('Dados Mensais'!G5),D5)</f>
        <v/>
      </c>
      <c r="F5" s="14">
        <f>IF(B5="",0,IF(VLOOKUP(B5,'Tabelas MP 1.399'!$A$4:$E$20,4,FALSE)="Sim",IFERROR(VLOOKUP('Dados Mensais'!E5,'Tabelas MP 1.399'!$G$4:$H$7,2,FALSE),0),0))</f>
        <v/>
      </c>
      <c r="G5" s="14">
        <f>E5*(1-F5)</f>
        <v/>
      </c>
      <c r="H5" s="13">
        <f>C5*G5</f>
        <v/>
      </c>
      <c r="I5" s="13">
        <f>IF(B5="",0,N('Dados Mensais'!F5)*VLOOKUP(B5,'Tabelas MP 1.399'!$A$4:$E$20,3,FALSE))</f>
        <v/>
      </c>
      <c r="J5" s="13">
        <f>H5+I5</f>
        <v/>
      </c>
      <c r="K5" s="12">
        <f>IF(B5="","",IF(AND(B5="Veículos (alíquota do Simulador)",N('Dados Mensais'!G5)=0),"Informe a alíquota do Simulador",IF(AND(VLOOKUP(B5,'Tabelas MP 1.399'!$A$4:$E$20,4,FALSE)&lt;&gt;"Sim",'Dados Mensais'!E5&lt;&gt;"",'Dados Mensais'!E5&lt;&gt;"Não se aplica"),"Redução só vale para bebida alcoólica","")))</f>
        <v/>
      </c>
      <c r="L5">
        <f>IF(A5="",0,YEAR(A5)*100+MONTH(A5))</f>
        <v/>
      </c>
    </row>
    <row r="6">
      <c r="A6" s="11">
        <f>IF('Dados Mensais'!A6="","",'Dados Mensais'!A6)</f>
        <v/>
      </c>
      <c r="B6" s="12">
        <f>IF('Dados Mensais'!C6="","",'Dados Mensais'!C6)</f>
        <v/>
      </c>
      <c r="C6" s="13">
        <f>IF('Dados Mensais'!C6="",0,N('Dados Mensais'!D6))</f>
        <v/>
      </c>
      <c r="D6" s="14">
        <f>IF(B6="",0,IF(B6="Veículos (alíquota do Simulador)",0,VLOOKUP(B6,'Tabelas MP 1.399'!$A$4:$E$20,2,FALSE)))</f>
        <v/>
      </c>
      <c r="E6" s="14">
        <f>IF(B6="Veículos (alíquota do Simulador)",N('Dados Mensais'!G6),D6)</f>
        <v/>
      </c>
      <c r="F6" s="14">
        <f>IF(B6="",0,IF(VLOOKUP(B6,'Tabelas MP 1.399'!$A$4:$E$20,4,FALSE)="Sim",IFERROR(VLOOKUP('Dados Mensais'!E6,'Tabelas MP 1.399'!$G$4:$H$7,2,FALSE),0),0))</f>
        <v/>
      </c>
      <c r="G6" s="14">
        <f>E6*(1-F6)</f>
        <v/>
      </c>
      <c r="H6" s="13">
        <f>C6*G6</f>
        <v/>
      </c>
      <c r="I6" s="13">
        <f>IF(B6="",0,N('Dados Mensais'!F6)*VLOOKUP(B6,'Tabelas MP 1.399'!$A$4:$E$20,3,FALSE))</f>
        <v/>
      </c>
      <c r="J6" s="13">
        <f>H6+I6</f>
        <v/>
      </c>
      <c r="K6" s="12">
        <f>IF(B6="","",IF(AND(B6="Veículos (alíquota do Simulador)",N('Dados Mensais'!G6)=0),"Informe a alíquota do Simulador",IF(AND(VLOOKUP(B6,'Tabelas MP 1.399'!$A$4:$E$20,4,FALSE)&lt;&gt;"Sim",'Dados Mensais'!E6&lt;&gt;"",'Dados Mensais'!E6&lt;&gt;"Não se aplica"),"Redução só vale para bebida alcoólica","")))</f>
        <v/>
      </c>
      <c r="L6">
        <f>IF(A6="",0,YEAR(A6)*100+MONTH(A6))</f>
        <v/>
      </c>
    </row>
    <row r="7">
      <c r="A7" s="11">
        <f>IF('Dados Mensais'!A7="","",'Dados Mensais'!A7)</f>
        <v/>
      </c>
      <c r="B7" s="12">
        <f>IF('Dados Mensais'!C7="","",'Dados Mensais'!C7)</f>
        <v/>
      </c>
      <c r="C7" s="13">
        <f>IF('Dados Mensais'!C7="",0,N('Dados Mensais'!D7))</f>
        <v/>
      </c>
      <c r="D7" s="14">
        <f>IF(B7="",0,IF(B7="Veículos (alíquota do Simulador)",0,VLOOKUP(B7,'Tabelas MP 1.399'!$A$4:$E$20,2,FALSE)))</f>
        <v/>
      </c>
      <c r="E7" s="14">
        <f>IF(B7="Veículos (alíquota do Simulador)",N('Dados Mensais'!G7),D7)</f>
        <v/>
      </c>
      <c r="F7" s="14">
        <f>IF(B7="",0,IF(VLOOKUP(B7,'Tabelas MP 1.399'!$A$4:$E$20,4,FALSE)="Sim",IFERROR(VLOOKUP('Dados Mensais'!E7,'Tabelas MP 1.399'!$G$4:$H$7,2,FALSE),0),0))</f>
        <v/>
      </c>
      <c r="G7" s="14">
        <f>E7*(1-F7)</f>
        <v/>
      </c>
      <c r="H7" s="13">
        <f>C7*G7</f>
        <v/>
      </c>
      <c r="I7" s="13">
        <f>IF(B7="",0,N('Dados Mensais'!F7)*VLOOKUP(B7,'Tabelas MP 1.399'!$A$4:$E$20,3,FALSE))</f>
        <v/>
      </c>
      <c r="J7" s="13">
        <f>H7+I7</f>
        <v/>
      </c>
      <c r="K7" s="12">
        <f>IF(B7="","",IF(AND(B7="Veículos (alíquota do Simulador)",N('Dados Mensais'!G7)=0),"Informe a alíquota do Simulador",IF(AND(VLOOKUP(B7,'Tabelas MP 1.399'!$A$4:$E$20,4,FALSE)&lt;&gt;"Sim",'Dados Mensais'!E7&lt;&gt;"",'Dados Mensais'!E7&lt;&gt;"Não se aplica"),"Redução só vale para bebida alcoólica","")))</f>
        <v/>
      </c>
      <c r="L7">
        <f>IF(A7="",0,YEAR(A7)*100+MONTH(A7))</f>
        <v/>
      </c>
    </row>
    <row r="8">
      <c r="A8" s="11">
        <f>IF('Dados Mensais'!A8="","",'Dados Mensais'!A8)</f>
        <v/>
      </c>
      <c r="B8" s="12">
        <f>IF('Dados Mensais'!C8="","",'Dados Mensais'!C8)</f>
        <v/>
      </c>
      <c r="C8" s="13">
        <f>IF('Dados Mensais'!C8="",0,N('Dados Mensais'!D8))</f>
        <v/>
      </c>
      <c r="D8" s="14">
        <f>IF(B8="",0,IF(B8="Veículos (alíquota do Simulador)",0,VLOOKUP(B8,'Tabelas MP 1.399'!$A$4:$E$20,2,FALSE)))</f>
        <v/>
      </c>
      <c r="E8" s="14">
        <f>IF(B8="Veículos (alíquota do Simulador)",N('Dados Mensais'!G8),D8)</f>
        <v/>
      </c>
      <c r="F8" s="14">
        <f>IF(B8="",0,IF(VLOOKUP(B8,'Tabelas MP 1.399'!$A$4:$E$20,4,FALSE)="Sim",IFERROR(VLOOKUP('Dados Mensais'!E8,'Tabelas MP 1.399'!$G$4:$H$7,2,FALSE),0),0))</f>
        <v/>
      </c>
      <c r="G8" s="14">
        <f>E8*(1-F8)</f>
        <v/>
      </c>
      <c r="H8" s="13">
        <f>C8*G8</f>
        <v/>
      </c>
      <c r="I8" s="13">
        <f>IF(B8="",0,N('Dados Mensais'!F8)*VLOOKUP(B8,'Tabelas MP 1.399'!$A$4:$E$20,3,FALSE))</f>
        <v/>
      </c>
      <c r="J8" s="13">
        <f>H8+I8</f>
        <v/>
      </c>
      <c r="K8" s="12">
        <f>IF(B8="","",IF(AND(B8="Veículos (alíquota do Simulador)",N('Dados Mensais'!G8)=0),"Informe a alíquota do Simulador",IF(AND(VLOOKUP(B8,'Tabelas MP 1.399'!$A$4:$E$20,4,FALSE)&lt;&gt;"Sim",'Dados Mensais'!E8&lt;&gt;"",'Dados Mensais'!E8&lt;&gt;"Não se aplica"),"Redução só vale para bebida alcoólica","")))</f>
        <v/>
      </c>
      <c r="L8">
        <f>IF(A8="",0,YEAR(A8)*100+MONTH(A8))</f>
        <v/>
      </c>
    </row>
    <row r="9">
      <c r="A9" s="11">
        <f>IF('Dados Mensais'!A9="","",'Dados Mensais'!A9)</f>
        <v/>
      </c>
      <c r="B9" s="12">
        <f>IF('Dados Mensais'!C9="","",'Dados Mensais'!C9)</f>
        <v/>
      </c>
      <c r="C9" s="13">
        <f>IF('Dados Mensais'!C9="",0,N('Dados Mensais'!D9))</f>
        <v/>
      </c>
      <c r="D9" s="14">
        <f>IF(B9="",0,IF(B9="Veículos (alíquota do Simulador)",0,VLOOKUP(B9,'Tabelas MP 1.399'!$A$4:$E$20,2,FALSE)))</f>
        <v/>
      </c>
      <c r="E9" s="14">
        <f>IF(B9="Veículos (alíquota do Simulador)",N('Dados Mensais'!G9),D9)</f>
        <v/>
      </c>
      <c r="F9" s="14">
        <f>IF(B9="",0,IF(VLOOKUP(B9,'Tabelas MP 1.399'!$A$4:$E$20,4,FALSE)="Sim",IFERROR(VLOOKUP('Dados Mensais'!E9,'Tabelas MP 1.399'!$G$4:$H$7,2,FALSE),0),0))</f>
        <v/>
      </c>
      <c r="G9" s="14">
        <f>E9*(1-F9)</f>
        <v/>
      </c>
      <c r="H9" s="13">
        <f>C9*G9</f>
        <v/>
      </c>
      <c r="I9" s="13">
        <f>IF(B9="",0,N('Dados Mensais'!F9)*VLOOKUP(B9,'Tabelas MP 1.399'!$A$4:$E$20,3,FALSE))</f>
        <v/>
      </c>
      <c r="J9" s="13">
        <f>H9+I9</f>
        <v/>
      </c>
      <c r="K9" s="12">
        <f>IF(B9="","",IF(AND(B9="Veículos (alíquota do Simulador)",N('Dados Mensais'!G9)=0),"Informe a alíquota do Simulador",IF(AND(VLOOKUP(B9,'Tabelas MP 1.399'!$A$4:$E$20,4,FALSE)&lt;&gt;"Sim",'Dados Mensais'!E9&lt;&gt;"",'Dados Mensais'!E9&lt;&gt;"Não se aplica"),"Redução só vale para bebida alcoólica","")))</f>
        <v/>
      </c>
      <c r="L9">
        <f>IF(A9="",0,YEAR(A9)*100+MONTH(A9))</f>
        <v/>
      </c>
    </row>
    <row r="10">
      <c r="A10" s="11">
        <f>IF('Dados Mensais'!A10="","",'Dados Mensais'!A10)</f>
        <v/>
      </c>
      <c r="B10" s="12">
        <f>IF('Dados Mensais'!C10="","",'Dados Mensais'!C10)</f>
        <v/>
      </c>
      <c r="C10" s="13">
        <f>IF('Dados Mensais'!C10="",0,N('Dados Mensais'!D10))</f>
        <v/>
      </c>
      <c r="D10" s="14">
        <f>IF(B10="",0,IF(B10="Veículos (alíquota do Simulador)",0,VLOOKUP(B10,'Tabelas MP 1.399'!$A$4:$E$20,2,FALSE)))</f>
        <v/>
      </c>
      <c r="E10" s="14">
        <f>IF(B10="Veículos (alíquota do Simulador)",N('Dados Mensais'!G10),D10)</f>
        <v/>
      </c>
      <c r="F10" s="14">
        <f>IF(B10="",0,IF(VLOOKUP(B10,'Tabelas MP 1.399'!$A$4:$E$20,4,FALSE)="Sim",IFERROR(VLOOKUP('Dados Mensais'!E10,'Tabelas MP 1.399'!$G$4:$H$7,2,FALSE),0),0))</f>
        <v/>
      </c>
      <c r="G10" s="14">
        <f>E10*(1-F10)</f>
        <v/>
      </c>
      <c r="H10" s="13">
        <f>C10*G10</f>
        <v/>
      </c>
      <c r="I10" s="13">
        <f>IF(B10="",0,N('Dados Mensais'!F10)*VLOOKUP(B10,'Tabelas MP 1.399'!$A$4:$E$20,3,FALSE))</f>
        <v/>
      </c>
      <c r="J10" s="13">
        <f>H10+I10</f>
        <v/>
      </c>
      <c r="K10" s="12">
        <f>IF(B10="","",IF(AND(B10="Veículos (alíquota do Simulador)",N('Dados Mensais'!G10)=0),"Informe a alíquota do Simulador",IF(AND(VLOOKUP(B10,'Tabelas MP 1.399'!$A$4:$E$20,4,FALSE)&lt;&gt;"Sim",'Dados Mensais'!E10&lt;&gt;"",'Dados Mensais'!E10&lt;&gt;"Não se aplica"),"Redução só vale para bebida alcoólica","")))</f>
        <v/>
      </c>
      <c r="L10">
        <f>IF(A10="",0,YEAR(A10)*100+MONTH(A10))</f>
        <v/>
      </c>
    </row>
    <row r="11">
      <c r="A11" s="11">
        <f>IF('Dados Mensais'!A11="","",'Dados Mensais'!A11)</f>
        <v/>
      </c>
      <c r="B11" s="12">
        <f>IF('Dados Mensais'!C11="","",'Dados Mensais'!C11)</f>
        <v/>
      </c>
      <c r="C11" s="13">
        <f>IF('Dados Mensais'!C11="",0,N('Dados Mensais'!D11))</f>
        <v/>
      </c>
      <c r="D11" s="14">
        <f>IF(B11="",0,IF(B11="Veículos (alíquota do Simulador)",0,VLOOKUP(B11,'Tabelas MP 1.399'!$A$4:$E$20,2,FALSE)))</f>
        <v/>
      </c>
      <c r="E11" s="14">
        <f>IF(B11="Veículos (alíquota do Simulador)",N('Dados Mensais'!G11),D11)</f>
        <v/>
      </c>
      <c r="F11" s="14">
        <f>IF(B11="",0,IF(VLOOKUP(B11,'Tabelas MP 1.399'!$A$4:$E$20,4,FALSE)="Sim",IFERROR(VLOOKUP('Dados Mensais'!E11,'Tabelas MP 1.399'!$G$4:$H$7,2,FALSE),0),0))</f>
        <v/>
      </c>
      <c r="G11" s="14">
        <f>E11*(1-F11)</f>
        <v/>
      </c>
      <c r="H11" s="13">
        <f>C11*G11</f>
        <v/>
      </c>
      <c r="I11" s="13">
        <f>IF(B11="",0,N('Dados Mensais'!F11)*VLOOKUP(B11,'Tabelas MP 1.399'!$A$4:$E$20,3,FALSE))</f>
        <v/>
      </c>
      <c r="J11" s="13">
        <f>H11+I11</f>
        <v/>
      </c>
      <c r="K11" s="12">
        <f>IF(B11="","",IF(AND(B11="Veículos (alíquota do Simulador)",N('Dados Mensais'!G11)=0),"Informe a alíquota do Simulador",IF(AND(VLOOKUP(B11,'Tabelas MP 1.399'!$A$4:$E$20,4,FALSE)&lt;&gt;"Sim",'Dados Mensais'!E11&lt;&gt;"",'Dados Mensais'!E11&lt;&gt;"Não se aplica"),"Redução só vale para bebida alcoólica","")))</f>
        <v/>
      </c>
      <c r="L11">
        <f>IF(A11="",0,YEAR(A11)*100+MONTH(A11))</f>
        <v/>
      </c>
    </row>
    <row r="12">
      <c r="A12" s="11">
        <f>IF('Dados Mensais'!A12="","",'Dados Mensais'!A12)</f>
        <v/>
      </c>
      <c r="B12" s="12">
        <f>IF('Dados Mensais'!C12="","",'Dados Mensais'!C12)</f>
        <v/>
      </c>
      <c r="C12" s="13">
        <f>IF('Dados Mensais'!C12="",0,N('Dados Mensais'!D12))</f>
        <v/>
      </c>
      <c r="D12" s="14">
        <f>IF(B12="",0,IF(B12="Veículos (alíquota do Simulador)",0,VLOOKUP(B12,'Tabelas MP 1.399'!$A$4:$E$20,2,FALSE)))</f>
        <v/>
      </c>
      <c r="E12" s="14">
        <f>IF(B12="Veículos (alíquota do Simulador)",N('Dados Mensais'!G12),D12)</f>
        <v/>
      </c>
      <c r="F12" s="14">
        <f>IF(B12="",0,IF(VLOOKUP(B12,'Tabelas MP 1.399'!$A$4:$E$20,4,FALSE)="Sim",IFERROR(VLOOKUP('Dados Mensais'!E12,'Tabelas MP 1.399'!$G$4:$H$7,2,FALSE),0),0))</f>
        <v/>
      </c>
      <c r="G12" s="14">
        <f>E12*(1-F12)</f>
        <v/>
      </c>
      <c r="H12" s="13">
        <f>C12*G12</f>
        <v/>
      </c>
      <c r="I12" s="13">
        <f>IF(B12="",0,N('Dados Mensais'!F12)*VLOOKUP(B12,'Tabelas MP 1.399'!$A$4:$E$20,3,FALSE))</f>
        <v/>
      </c>
      <c r="J12" s="13">
        <f>H12+I12</f>
        <v/>
      </c>
      <c r="K12" s="12">
        <f>IF(B12="","",IF(AND(B12="Veículos (alíquota do Simulador)",N('Dados Mensais'!G12)=0),"Informe a alíquota do Simulador",IF(AND(VLOOKUP(B12,'Tabelas MP 1.399'!$A$4:$E$20,4,FALSE)&lt;&gt;"Sim",'Dados Mensais'!E12&lt;&gt;"",'Dados Mensais'!E12&lt;&gt;"Não se aplica"),"Redução só vale para bebida alcoólica","")))</f>
        <v/>
      </c>
      <c r="L12">
        <f>IF(A12="",0,YEAR(A12)*100+MONTH(A12))</f>
        <v/>
      </c>
    </row>
    <row r="13">
      <c r="A13" s="11">
        <f>IF('Dados Mensais'!A13="","",'Dados Mensais'!A13)</f>
        <v/>
      </c>
      <c r="B13" s="12">
        <f>IF('Dados Mensais'!C13="","",'Dados Mensais'!C13)</f>
        <v/>
      </c>
      <c r="C13" s="13">
        <f>IF('Dados Mensais'!C13="",0,N('Dados Mensais'!D13))</f>
        <v/>
      </c>
      <c r="D13" s="14">
        <f>IF(B13="",0,IF(B13="Veículos (alíquota do Simulador)",0,VLOOKUP(B13,'Tabelas MP 1.399'!$A$4:$E$20,2,FALSE)))</f>
        <v/>
      </c>
      <c r="E13" s="14">
        <f>IF(B13="Veículos (alíquota do Simulador)",N('Dados Mensais'!G13),D13)</f>
        <v/>
      </c>
      <c r="F13" s="14">
        <f>IF(B13="",0,IF(VLOOKUP(B13,'Tabelas MP 1.399'!$A$4:$E$20,4,FALSE)="Sim",IFERROR(VLOOKUP('Dados Mensais'!E13,'Tabelas MP 1.399'!$G$4:$H$7,2,FALSE),0),0))</f>
        <v/>
      </c>
      <c r="G13" s="14">
        <f>E13*(1-F13)</f>
        <v/>
      </c>
      <c r="H13" s="13">
        <f>C13*G13</f>
        <v/>
      </c>
      <c r="I13" s="13">
        <f>IF(B13="",0,N('Dados Mensais'!F13)*VLOOKUP(B13,'Tabelas MP 1.399'!$A$4:$E$20,3,FALSE))</f>
        <v/>
      </c>
      <c r="J13" s="13">
        <f>H13+I13</f>
        <v/>
      </c>
      <c r="K13" s="12">
        <f>IF(B13="","",IF(AND(B13="Veículos (alíquota do Simulador)",N('Dados Mensais'!G13)=0),"Informe a alíquota do Simulador",IF(AND(VLOOKUP(B13,'Tabelas MP 1.399'!$A$4:$E$20,4,FALSE)&lt;&gt;"Sim",'Dados Mensais'!E13&lt;&gt;"",'Dados Mensais'!E13&lt;&gt;"Não se aplica"),"Redução só vale para bebida alcoólica","")))</f>
        <v/>
      </c>
      <c r="L13">
        <f>IF(A13="",0,YEAR(A13)*100+MONTH(A13))</f>
        <v/>
      </c>
    </row>
    <row r="14">
      <c r="A14" s="11">
        <f>IF('Dados Mensais'!A14="","",'Dados Mensais'!A14)</f>
        <v/>
      </c>
      <c r="B14" s="12">
        <f>IF('Dados Mensais'!C14="","",'Dados Mensais'!C14)</f>
        <v/>
      </c>
      <c r="C14" s="13">
        <f>IF('Dados Mensais'!C14="",0,N('Dados Mensais'!D14))</f>
        <v/>
      </c>
      <c r="D14" s="14">
        <f>IF(B14="",0,IF(B14="Veículos (alíquota do Simulador)",0,VLOOKUP(B14,'Tabelas MP 1.399'!$A$4:$E$20,2,FALSE)))</f>
        <v/>
      </c>
      <c r="E14" s="14">
        <f>IF(B14="Veículos (alíquota do Simulador)",N('Dados Mensais'!G14),D14)</f>
        <v/>
      </c>
      <c r="F14" s="14">
        <f>IF(B14="",0,IF(VLOOKUP(B14,'Tabelas MP 1.399'!$A$4:$E$20,4,FALSE)="Sim",IFERROR(VLOOKUP('Dados Mensais'!E14,'Tabelas MP 1.399'!$G$4:$H$7,2,FALSE),0),0))</f>
        <v/>
      </c>
      <c r="G14" s="14">
        <f>E14*(1-F14)</f>
        <v/>
      </c>
      <c r="H14" s="13">
        <f>C14*G14</f>
        <v/>
      </c>
      <c r="I14" s="13">
        <f>IF(B14="",0,N('Dados Mensais'!F14)*VLOOKUP(B14,'Tabelas MP 1.399'!$A$4:$E$20,3,FALSE))</f>
        <v/>
      </c>
      <c r="J14" s="13">
        <f>H14+I14</f>
        <v/>
      </c>
      <c r="K14" s="12">
        <f>IF(B14="","",IF(AND(B14="Veículos (alíquota do Simulador)",N('Dados Mensais'!G14)=0),"Informe a alíquota do Simulador",IF(AND(VLOOKUP(B14,'Tabelas MP 1.399'!$A$4:$E$20,4,FALSE)&lt;&gt;"Sim",'Dados Mensais'!E14&lt;&gt;"",'Dados Mensais'!E14&lt;&gt;"Não se aplica"),"Redução só vale para bebida alcoólica","")))</f>
        <v/>
      </c>
      <c r="L14">
        <f>IF(A14="",0,YEAR(A14)*100+MONTH(A14))</f>
        <v/>
      </c>
    </row>
    <row r="15">
      <c r="A15" s="11">
        <f>IF('Dados Mensais'!A15="","",'Dados Mensais'!A15)</f>
        <v/>
      </c>
      <c r="B15" s="12">
        <f>IF('Dados Mensais'!C15="","",'Dados Mensais'!C15)</f>
        <v/>
      </c>
      <c r="C15" s="13">
        <f>IF('Dados Mensais'!C15="",0,N('Dados Mensais'!D15))</f>
        <v/>
      </c>
      <c r="D15" s="14">
        <f>IF(B15="",0,IF(B15="Veículos (alíquota do Simulador)",0,VLOOKUP(B15,'Tabelas MP 1.399'!$A$4:$E$20,2,FALSE)))</f>
        <v/>
      </c>
      <c r="E15" s="14">
        <f>IF(B15="Veículos (alíquota do Simulador)",N('Dados Mensais'!G15),D15)</f>
        <v/>
      </c>
      <c r="F15" s="14">
        <f>IF(B15="",0,IF(VLOOKUP(B15,'Tabelas MP 1.399'!$A$4:$E$20,4,FALSE)="Sim",IFERROR(VLOOKUP('Dados Mensais'!E15,'Tabelas MP 1.399'!$G$4:$H$7,2,FALSE),0),0))</f>
        <v/>
      </c>
      <c r="G15" s="14">
        <f>E15*(1-F15)</f>
        <v/>
      </c>
      <c r="H15" s="13">
        <f>C15*G15</f>
        <v/>
      </c>
      <c r="I15" s="13">
        <f>IF(B15="",0,N('Dados Mensais'!F15)*VLOOKUP(B15,'Tabelas MP 1.399'!$A$4:$E$20,3,FALSE))</f>
        <v/>
      </c>
      <c r="J15" s="13">
        <f>H15+I15</f>
        <v/>
      </c>
      <c r="K15" s="12">
        <f>IF(B15="","",IF(AND(B15="Veículos (alíquota do Simulador)",N('Dados Mensais'!G15)=0),"Informe a alíquota do Simulador",IF(AND(VLOOKUP(B15,'Tabelas MP 1.399'!$A$4:$E$20,4,FALSE)&lt;&gt;"Sim",'Dados Mensais'!E15&lt;&gt;"",'Dados Mensais'!E15&lt;&gt;"Não se aplica"),"Redução só vale para bebida alcoólica","")))</f>
        <v/>
      </c>
      <c r="L15">
        <f>IF(A15="",0,YEAR(A15)*100+MONTH(A15))</f>
        <v/>
      </c>
    </row>
    <row r="16">
      <c r="A16" s="11">
        <f>IF('Dados Mensais'!A16="","",'Dados Mensais'!A16)</f>
        <v/>
      </c>
      <c r="B16" s="12">
        <f>IF('Dados Mensais'!C16="","",'Dados Mensais'!C16)</f>
        <v/>
      </c>
      <c r="C16" s="13">
        <f>IF('Dados Mensais'!C16="",0,N('Dados Mensais'!D16))</f>
        <v/>
      </c>
      <c r="D16" s="14">
        <f>IF(B16="",0,IF(B16="Veículos (alíquota do Simulador)",0,VLOOKUP(B16,'Tabelas MP 1.399'!$A$4:$E$20,2,FALSE)))</f>
        <v/>
      </c>
      <c r="E16" s="14">
        <f>IF(B16="Veículos (alíquota do Simulador)",N('Dados Mensais'!G16),D16)</f>
        <v/>
      </c>
      <c r="F16" s="14">
        <f>IF(B16="",0,IF(VLOOKUP(B16,'Tabelas MP 1.399'!$A$4:$E$20,4,FALSE)="Sim",IFERROR(VLOOKUP('Dados Mensais'!E16,'Tabelas MP 1.399'!$G$4:$H$7,2,FALSE),0),0))</f>
        <v/>
      </c>
      <c r="G16" s="14">
        <f>E16*(1-F16)</f>
        <v/>
      </c>
      <c r="H16" s="13">
        <f>C16*G16</f>
        <v/>
      </c>
      <c r="I16" s="13">
        <f>IF(B16="",0,N('Dados Mensais'!F16)*VLOOKUP(B16,'Tabelas MP 1.399'!$A$4:$E$20,3,FALSE))</f>
        <v/>
      </c>
      <c r="J16" s="13">
        <f>H16+I16</f>
        <v/>
      </c>
      <c r="K16" s="12">
        <f>IF(B16="","",IF(AND(B16="Veículos (alíquota do Simulador)",N('Dados Mensais'!G16)=0),"Informe a alíquota do Simulador",IF(AND(VLOOKUP(B16,'Tabelas MP 1.399'!$A$4:$E$20,4,FALSE)&lt;&gt;"Sim",'Dados Mensais'!E16&lt;&gt;"",'Dados Mensais'!E16&lt;&gt;"Não se aplica"),"Redução só vale para bebida alcoólica","")))</f>
        <v/>
      </c>
      <c r="L16">
        <f>IF(A16="",0,YEAR(A16)*100+MONTH(A16))</f>
        <v/>
      </c>
    </row>
    <row r="17">
      <c r="A17" s="11">
        <f>IF('Dados Mensais'!A17="","",'Dados Mensais'!A17)</f>
        <v/>
      </c>
      <c r="B17" s="12">
        <f>IF('Dados Mensais'!C17="","",'Dados Mensais'!C17)</f>
        <v/>
      </c>
      <c r="C17" s="13">
        <f>IF('Dados Mensais'!C17="",0,N('Dados Mensais'!D17))</f>
        <v/>
      </c>
      <c r="D17" s="14">
        <f>IF(B17="",0,IF(B17="Veículos (alíquota do Simulador)",0,VLOOKUP(B17,'Tabelas MP 1.399'!$A$4:$E$20,2,FALSE)))</f>
        <v/>
      </c>
      <c r="E17" s="14">
        <f>IF(B17="Veículos (alíquota do Simulador)",N('Dados Mensais'!G17),D17)</f>
        <v/>
      </c>
      <c r="F17" s="14">
        <f>IF(B17="",0,IF(VLOOKUP(B17,'Tabelas MP 1.399'!$A$4:$E$20,4,FALSE)="Sim",IFERROR(VLOOKUP('Dados Mensais'!E17,'Tabelas MP 1.399'!$G$4:$H$7,2,FALSE),0),0))</f>
        <v/>
      </c>
      <c r="G17" s="14">
        <f>E17*(1-F17)</f>
        <v/>
      </c>
      <c r="H17" s="13">
        <f>C17*G17</f>
        <v/>
      </c>
      <c r="I17" s="13">
        <f>IF(B17="",0,N('Dados Mensais'!F17)*VLOOKUP(B17,'Tabelas MP 1.399'!$A$4:$E$20,3,FALSE))</f>
        <v/>
      </c>
      <c r="J17" s="13">
        <f>H17+I17</f>
        <v/>
      </c>
      <c r="K17" s="12">
        <f>IF(B17="","",IF(AND(B17="Veículos (alíquota do Simulador)",N('Dados Mensais'!G17)=0),"Informe a alíquota do Simulador",IF(AND(VLOOKUP(B17,'Tabelas MP 1.399'!$A$4:$E$20,4,FALSE)&lt;&gt;"Sim",'Dados Mensais'!E17&lt;&gt;"",'Dados Mensais'!E17&lt;&gt;"Não se aplica"),"Redução só vale para bebida alcoólica","")))</f>
        <v/>
      </c>
      <c r="L17">
        <f>IF(A17="",0,YEAR(A17)*100+MONTH(A17))</f>
        <v/>
      </c>
    </row>
    <row r="18">
      <c r="A18" s="11">
        <f>IF('Dados Mensais'!A18="","",'Dados Mensais'!A18)</f>
        <v/>
      </c>
      <c r="B18" s="12">
        <f>IF('Dados Mensais'!C18="","",'Dados Mensais'!C18)</f>
        <v/>
      </c>
      <c r="C18" s="13">
        <f>IF('Dados Mensais'!C18="",0,N('Dados Mensais'!D18))</f>
        <v/>
      </c>
      <c r="D18" s="14">
        <f>IF(B18="",0,IF(B18="Veículos (alíquota do Simulador)",0,VLOOKUP(B18,'Tabelas MP 1.399'!$A$4:$E$20,2,FALSE)))</f>
        <v/>
      </c>
      <c r="E18" s="14">
        <f>IF(B18="Veículos (alíquota do Simulador)",N('Dados Mensais'!G18),D18)</f>
        <v/>
      </c>
      <c r="F18" s="14">
        <f>IF(B18="",0,IF(VLOOKUP(B18,'Tabelas MP 1.399'!$A$4:$E$20,4,FALSE)="Sim",IFERROR(VLOOKUP('Dados Mensais'!E18,'Tabelas MP 1.399'!$G$4:$H$7,2,FALSE),0),0))</f>
        <v/>
      </c>
      <c r="G18" s="14">
        <f>E18*(1-F18)</f>
        <v/>
      </c>
      <c r="H18" s="13">
        <f>C18*G18</f>
        <v/>
      </c>
      <c r="I18" s="13">
        <f>IF(B18="",0,N('Dados Mensais'!F18)*VLOOKUP(B18,'Tabelas MP 1.399'!$A$4:$E$20,3,FALSE))</f>
        <v/>
      </c>
      <c r="J18" s="13">
        <f>H18+I18</f>
        <v/>
      </c>
      <c r="K18" s="12">
        <f>IF(B18="","",IF(AND(B18="Veículos (alíquota do Simulador)",N('Dados Mensais'!G18)=0),"Informe a alíquota do Simulador",IF(AND(VLOOKUP(B18,'Tabelas MP 1.399'!$A$4:$E$20,4,FALSE)&lt;&gt;"Sim",'Dados Mensais'!E18&lt;&gt;"",'Dados Mensais'!E18&lt;&gt;"Não se aplica"),"Redução só vale para bebida alcoólica","")))</f>
        <v/>
      </c>
      <c r="L18">
        <f>IF(A18="",0,YEAR(A18)*100+MONTH(A18))</f>
        <v/>
      </c>
    </row>
    <row r="19">
      <c r="A19" s="11">
        <f>IF('Dados Mensais'!A19="","",'Dados Mensais'!A19)</f>
        <v/>
      </c>
      <c r="B19" s="12">
        <f>IF('Dados Mensais'!C19="","",'Dados Mensais'!C19)</f>
        <v/>
      </c>
      <c r="C19" s="13">
        <f>IF('Dados Mensais'!C19="",0,N('Dados Mensais'!D19))</f>
        <v/>
      </c>
      <c r="D19" s="14">
        <f>IF(B19="",0,IF(B19="Veículos (alíquota do Simulador)",0,VLOOKUP(B19,'Tabelas MP 1.399'!$A$4:$E$20,2,FALSE)))</f>
        <v/>
      </c>
      <c r="E19" s="14">
        <f>IF(B19="Veículos (alíquota do Simulador)",N('Dados Mensais'!G19),D19)</f>
        <v/>
      </c>
      <c r="F19" s="14">
        <f>IF(B19="",0,IF(VLOOKUP(B19,'Tabelas MP 1.399'!$A$4:$E$20,4,FALSE)="Sim",IFERROR(VLOOKUP('Dados Mensais'!E19,'Tabelas MP 1.399'!$G$4:$H$7,2,FALSE),0),0))</f>
        <v/>
      </c>
      <c r="G19" s="14">
        <f>E19*(1-F19)</f>
        <v/>
      </c>
      <c r="H19" s="13">
        <f>C19*G19</f>
        <v/>
      </c>
      <c r="I19" s="13">
        <f>IF(B19="",0,N('Dados Mensais'!F19)*VLOOKUP(B19,'Tabelas MP 1.399'!$A$4:$E$20,3,FALSE))</f>
        <v/>
      </c>
      <c r="J19" s="13">
        <f>H19+I19</f>
        <v/>
      </c>
      <c r="K19" s="12">
        <f>IF(B19="","",IF(AND(B19="Veículos (alíquota do Simulador)",N('Dados Mensais'!G19)=0),"Informe a alíquota do Simulador",IF(AND(VLOOKUP(B19,'Tabelas MP 1.399'!$A$4:$E$20,4,FALSE)&lt;&gt;"Sim",'Dados Mensais'!E19&lt;&gt;"",'Dados Mensais'!E19&lt;&gt;"Não se aplica"),"Redução só vale para bebida alcoólica","")))</f>
        <v/>
      </c>
      <c r="L19">
        <f>IF(A19="",0,YEAR(A19)*100+MONTH(A19))</f>
        <v/>
      </c>
    </row>
    <row r="20">
      <c r="A20" s="11">
        <f>IF('Dados Mensais'!A20="","",'Dados Mensais'!A20)</f>
        <v/>
      </c>
      <c r="B20" s="12">
        <f>IF('Dados Mensais'!C20="","",'Dados Mensais'!C20)</f>
        <v/>
      </c>
      <c r="C20" s="13">
        <f>IF('Dados Mensais'!C20="",0,N('Dados Mensais'!D20))</f>
        <v/>
      </c>
      <c r="D20" s="14">
        <f>IF(B20="",0,IF(B20="Veículos (alíquota do Simulador)",0,VLOOKUP(B20,'Tabelas MP 1.399'!$A$4:$E$20,2,FALSE)))</f>
        <v/>
      </c>
      <c r="E20" s="14">
        <f>IF(B20="Veículos (alíquota do Simulador)",N('Dados Mensais'!G20),D20)</f>
        <v/>
      </c>
      <c r="F20" s="14">
        <f>IF(B20="",0,IF(VLOOKUP(B20,'Tabelas MP 1.399'!$A$4:$E$20,4,FALSE)="Sim",IFERROR(VLOOKUP('Dados Mensais'!E20,'Tabelas MP 1.399'!$G$4:$H$7,2,FALSE),0),0))</f>
        <v/>
      </c>
      <c r="G20" s="14">
        <f>E20*(1-F20)</f>
        <v/>
      </c>
      <c r="H20" s="13">
        <f>C20*G20</f>
        <v/>
      </c>
      <c r="I20" s="13">
        <f>IF(B20="",0,N('Dados Mensais'!F20)*VLOOKUP(B20,'Tabelas MP 1.399'!$A$4:$E$20,3,FALSE))</f>
        <v/>
      </c>
      <c r="J20" s="13">
        <f>H20+I20</f>
        <v/>
      </c>
      <c r="K20" s="12">
        <f>IF(B20="","",IF(AND(B20="Veículos (alíquota do Simulador)",N('Dados Mensais'!G20)=0),"Informe a alíquota do Simulador",IF(AND(VLOOKUP(B20,'Tabelas MP 1.399'!$A$4:$E$20,4,FALSE)&lt;&gt;"Sim",'Dados Mensais'!E20&lt;&gt;"",'Dados Mensais'!E20&lt;&gt;"Não se aplica"),"Redução só vale para bebida alcoólica","")))</f>
        <v/>
      </c>
      <c r="L20">
        <f>IF(A20="",0,YEAR(A20)*100+MONTH(A20))</f>
        <v/>
      </c>
    </row>
    <row r="21">
      <c r="A21" s="11">
        <f>IF('Dados Mensais'!A21="","",'Dados Mensais'!A21)</f>
        <v/>
      </c>
      <c r="B21" s="12">
        <f>IF('Dados Mensais'!C21="","",'Dados Mensais'!C21)</f>
        <v/>
      </c>
      <c r="C21" s="13">
        <f>IF('Dados Mensais'!C21="",0,N('Dados Mensais'!D21))</f>
        <v/>
      </c>
      <c r="D21" s="14">
        <f>IF(B21="",0,IF(B21="Veículos (alíquota do Simulador)",0,VLOOKUP(B21,'Tabelas MP 1.399'!$A$4:$E$20,2,FALSE)))</f>
        <v/>
      </c>
      <c r="E21" s="14">
        <f>IF(B21="Veículos (alíquota do Simulador)",N('Dados Mensais'!G21),D21)</f>
        <v/>
      </c>
      <c r="F21" s="14">
        <f>IF(B21="",0,IF(VLOOKUP(B21,'Tabelas MP 1.399'!$A$4:$E$20,4,FALSE)="Sim",IFERROR(VLOOKUP('Dados Mensais'!E21,'Tabelas MP 1.399'!$G$4:$H$7,2,FALSE),0),0))</f>
        <v/>
      </c>
      <c r="G21" s="14">
        <f>E21*(1-F21)</f>
        <v/>
      </c>
      <c r="H21" s="13">
        <f>C21*G21</f>
        <v/>
      </c>
      <c r="I21" s="13">
        <f>IF(B21="",0,N('Dados Mensais'!F21)*VLOOKUP(B21,'Tabelas MP 1.399'!$A$4:$E$20,3,FALSE))</f>
        <v/>
      </c>
      <c r="J21" s="13">
        <f>H21+I21</f>
        <v/>
      </c>
      <c r="K21" s="12">
        <f>IF(B21="","",IF(AND(B21="Veículos (alíquota do Simulador)",N('Dados Mensais'!G21)=0),"Informe a alíquota do Simulador",IF(AND(VLOOKUP(B21,'Tabelas MP 1.399'!$A$4:$E$20,4,FALSE)&lt;&gt;"Sim",'Dados Mensais'!E21&lt;&gt;"",'Dados Mensais'!E21&lt;&gt;"Não se aplica"),"Redução só vale para bebida alcoólica","")))</f>
        <v/>
      </c>
      <c r="L21">
        <f>IF(A21="",0,YEAR(A21)*100+MONTH(A21))</f>
        <v/>
      </c>
    </row>
    <row r="22">
      <c r="A22" s="11">
        <f>IF('Dados Mensais'!A22="","",'Dados Mensais'!A22)</f>
        <v/>
      </c>
      <c r="B22" s="12">
        <f>IF('Dados Mensais'!C22="","",'Dados Mensais'!C22)</f>
        <v/>
      </c>
      <c r="C22" s="13">
        <f>IF('Dados Mensais'!C22="",0,N('Dados Mensais'!D22))</f>
        <v/>
      </c>
      <c r="D22" s="14">
        <f>IF(B22="",0,IF(B22="Veículos (alíquota do Simulador)",0,VLOOKUP(B22,'Tabelas MP 1.399'!$A$4:$E$20,2,FALSE)))</f>
        <v/>
      </c>
      <c r="E22" s="14">
        <f>IF(B22="Veículos (alíquota do Simulador)",N('Dados Mensais'!G22),D22)</f>
        <v/>
      </c>
      <c r="F22" s="14">
        <f>IF(B22="",0,IF(VLOOKUP(B22,'Tabelas MP 1.399'!$A$4:$E$20,4,FALSE)="Sim",IFERROR(VLOOKUP('Dados Mensais'!E22,'Tabelas MP 1.399'!$G$4:$H$7,2,FALSE),0),0))</f>
        <v/>
      </c>
      <c r="G22" s="14">
        <f>E22*(1-F22)</f>
        <v/>
      </c>
      <c r="H22" s="13">
        <f>C22*G22</f>
        <v/>
      </c>
      <c r="I22" s="13">
        <f>IF(B22="",0,N('Dados Mensais'!F22)*VLOOKUP(B22,'Tabelas MP 1.399'!$A$4:$E$20,3,FALSE))</f>
        <v/>
      </c>
      <c r="J22" s="13">
        <f>H22+I22</f>
        <v/>
      </c>
      <c r="K22" s="12">
        <f>IF(B22="","",IF(AND(B22="Veículos (alíquota do Simulador)",N('Dados Mensais'!G22)=0),"Informe a alíquota do Simulador",IF(AND(VLOOKUP(B22,'Tabelas MP 1.399'!$A$4:$E$20,4,FALSE)&lt;&gt;"Sim",'Dados Mensais'!E22&lt;&gt;"",'Dados Mensais'!E22&lt;&gt;"Não se aplica"),"Redução só vale para bebida alcoólica","")))</f>
        <v/>
      </c>
      <c r="L22">
        <f>IF(A22="",0,YEAR(A22)*100+MONTH(A22))</f>
        <v/>
      </c>
    </row>
    <row r="23">
      <c r="A23" s="11">
        <f>IF('Dados Mensais'!A23="","",'Dados Mensais'!A23)</f>
        <v/>
      </c>
      <c r="B23" s="12">
        <f>IF('Dados Mensais'!C23="","",'Dados Mensais'!C23)</f>
        <v/>
      </c>
      <c r="C23" s="13">
        <f>IF('Dados Mensais'!C23="",0,N('Dados Mensais'!D23))</f>
        <v/>
      </c>
      <c r="D23" s="14">
        <f>IF(B23="",0,IF(B23="Veículos (alíquota do Simulador)",0,VLOOKUP(B23,'Tabelas MP 1.399'!$A$4:$E$20,2,FALSE)))</f>
        <v/>
      </c>
      <c r="E23" s="14">
        <f>IF(B23="Veículos (alíquota do Simulador)",N('Dados Mensais'!G23),D23)</f>
        <v/>
      </c>
      <c r="F23" s="14">
        <f>IF(B23="",0,IF(VLOOKUP(B23,'Tabelas MP 1.399'!$A$4:$E$20,4,FALSE)="Sim",IFERROR(VLOOKUP('Dados Mensais'!E23,'Tabelas MP 1.399'!$G$4:$H$7,2,FALSE),0),0))</f>
        <v/>
      </c>
      <c r="G23" s="14">
        <f>E23*(1-F23)</f>
        <v/>
      </c>
      <c r="H23" s="13">
        <f>C23*G23</f>
        <v/>
      </c>
      <c r="I23" s="13">
        <f>IF(B23="",0,N('Dados Mensais'!F23)*VLOOKUP(B23,'Tabelas MP 1.399'!$A$4:$E$20,3,FALSE))</f>
        <v/>
      </c>
      <c r="J23" s="13">
        <f>H23+I23</f>
        <v/>
      </c>
      <c r="K23" s="12">
        <f>IF(B23="","",IF(AND(B23="Veículos (alíquota do Simulador)",N('Dados Mensais'!G23)=0),"Informe a alíquota do Simulador",IF(AND(VLOOKUP(B23,'Tabelas MP 1.399'!$A$4:$E$20,4,FALSE)&lt;&gt;"Sim",'Dados Mensais'!E23&lt;&gt;"",'Dados Mensais'!E23&lt;&gt;"Não se aplica"),"Redução só vale para bebida alcoólica","")))</f>
        <v/>
      </c>
      <c r="L23">
        <f>IF(A23="",0,YEAR(A23)*100+MONTH(A23))</f>
        <v/>
      </c>
    </row>
    <row r="24">
      <c r="A24" s="11">
        <f>IF('Dados Mensais'!A24="","",'Dados Mensais'!A24)</f>
        <v/>
      </c>
      <c r="B24" s="12">
        <f>IF('Dados Mensais'!C24="","",'Dados Mensais'!C24)</f>
        <v/>
      </c>
      <c r="C24" s="13">
        <f>IF('Dados Mensais'!C24="",0,N('Dados Mensais'!D24))</f>
        <v/>
      </c>
      <c r="D24" s="14">
        <f>IF(B24="",0,IF(B24="Veículos (alíquota do Simulador)",0,VLOOKUP(B24,'Tabelas MP 1.399'!$A$4:$E$20,2,FALSE)))</f>
        <v/>
      </c>
      <c r="E24" s="14">
        <f>IF(B24="Veículos (alíquota do Simulador)",N('Dados Mensais'!G24),D24)</f>
        <v/>
      </c>
      <c r="F24" s="14">
        <f>IF(B24="",0,IF(VLOOKUP(B24,'Tabelas MP 1.399'!$A$4:$E$20,4,FALSE)="Sim",IFERROR(VLOOKUP('Dados Mensais'!E24,'Tabelas MP 1.399'!$G$4:$H$7,2,FALSE),0),0))</f>
        <v/>
      </c>
      <c r="G24" s="14">
        <f>E24*(1-F24)</f>
        <v/>
      </c>
      <c r="H24" s="13">
        <f>C24*G24</f>
        <v/>
      </c>
      <c r="I24" s="13">
        <f>IF(B24="",0,N('Dados Mensais'!F24)*VLOOKUP(B24,'Tabelas MP 1.399'!$A$4:$E$20,3,FALSE))</f>
        <v/>
      </c>
      <c r="J24" s="13">
        <f>H24+I24</f>
        <v/>
      </c>
      <c r="K24" s="12">
        <f>IF(B24="","",IF(AND(B24="Veículos (alíquota do Simulador)",N('Dados Mensais'!G24)=0),"Informe a alíquota do Simulador",IF(AND(VLOOKUP(B24,'Tabelas MP 1.399'!$A$4:$E$20,4,FALSE)&lt;&gt;"Sim",'Dados Mensais'!E24&lt;&gt;"",'Dados Mensais'!E24&lt;&gt;"Não se aplica"),"Redução só vale para bebida alcoólica","")))</f>
        <v/>
      </c>
      <c r="L24">
        <f>IF(A24="",0,YEAR(A24)*100+MONTH(A24))</f>
        <v/>
      </c>
    </row>
    <row r="25">
      <c r="A25" s="11">
        <f>IF('Dados Mensais'!A25="","",'Dados Mensais'!A25)</f>
        <v/>
      </c>
      <c r="B25" s="12">
        <f>IF('Dados Mensais'!C25="","",'Dados Mensais'!C25)</f>
        <v/>
      </c>
      <c r="C25" s="13">
        <f>IF('Dados Mensais'!C25="",0,N('Dados Mensais'!D25))</f>
        <v/>
      </c>
      <c r="D25" s="14">
        <f>IF(B25="",0,IF(B25="Veículos (alíquota do Simulador)",0,VLOOKUP(B25,'Tabelas MP 1.399'!$A$4:$E$20,2,FALSE)))</f>
        <v/>
      </c>
      <c r="E25" s="14">
        <f>IF(B25="Veículos (alíquota do Simulador)",N('Dados Mensais'!G25),D25)</f>
        <v/>
      </c>
      <c r="F25" s="14">
        <f>IF(B25="",0,IF(VLOOKUP(B25,'Tabelas MP 1.399'!$A$4:$E$20,4,FALSE)="Sim",IFERROR(VLOOKUP('Dados Mensais'!E25,'Tabelas MP 1.399'!$G$4:$H$7,2,FALSE),0),0))</f>
        <v/>
      </c>
      <c r="G25" s="14">
        <f>E25*(1-F25)</f>
        <v/>
      </c>
      <c r="H25" s="13">
        <f>C25*G25</f>
        <v/>
      </c>
      <c r="I25" s="13">
        <f>IF(B25="",0,N('Dados Mensais'!F25)*VLOOKUP(B25,'Tabelas MP 1.399'!$A$4:$E$20,3,FALSE))</f>
        <v/>
      </c>
      <c r="J25" s="13">
        <f>H25+I25</f>
        <v/>
      </c>
      <c r="K25" s="12">
        <f>IF(B25="","",IF(AND(B25="Veículos (alíquota do Simulador)",N('Dados Mensais'!G25)=0),"Informe a alíquota do Simulador",IF(AND(VLOOKUP(B25,'Tabelas MP 1.399'!$A$4:$E$20,4,FALSE)&lt;&gt;"Sim",'Dados Mensais'!E25&lt;&gt;"",'Dados Mensais'!E25&lt;&gt;"Não se aplica"),"Redução só vale para bebida alcoólica","")))</f>
        <v/>
      </c>
      <c r="L25">
        <f>IF(A25="",0,YEAR(A25)*100+MONTH(A25))</f>
        <v/>
      </c>
    </row>
    <row r="26">
      <c r="A26" s="11">
        <f>IF('Dados Mensais'!A26="","",'Dados Mensais'!A26)</f>
        <v/>
      </c>
      <c r="B26" s="12">
        <f>IF('Dados Mensais'!C26="","",'Dados Mensais'!C26)</f>
        <v/>
      </c>
      <c r="C26" s="13">
        <f>IF('Dados Mensais'!C26="",0,N('Dados Mensais'!D26))</f>
        <v/>
      </c>
      <c r="D26" s="14">
        <f>IF(B26="",0,IF(B26="Veículos (alíquota do Simulador)",0,VLOOKUP(B26,'Tabelas MP 1.399'!$A$4:$E$20,2,FALSE)))</f>
        <v/>
      </c>
      <c r="E26" s="14">
        <f>IF(B26="Veículos (alíquota do Simulador)",N('Dados Mensais'!G26),D26)</f>
        <v/>
      </c>
      <c r="F26" s="14">
        <f>IF(B26="",0,IF(VLOOKUP(B26,'Tabelas MP 1.399'!$A$4:$E$20,4,FALSE)="Sim",IFERROR(VLOOKUP('Dados Mensais'!E26,'Tabelas MP 1.399'!$G$4:$H$7,2,FALSE),0),0))</f>
        <v/>
      </c>
      <c r="G26" s="14">
        <f>E26*(1-F26)</f>
        <v/>
      </c>
      <c r="H26" s="13">
        <f>C26*G26</f>
        <v/>
      </c>
      <c r="I26" s="13">
        <f>IF(B26="",0,N('Dados Mensais'!F26)*VLOOKUP(B26,'Tabelas MP 1.399'!$A$4:$E$20,3,FALSE))</f>
        <v/>
      </c>
      <c r="J26" s="13">
        <f>H26+I26</f>
        <v/>
      </c>
      <c r="K26" s="12">
        <f>IF(B26="","",IF(AND(B26="Veículos (alíquota do Simulador)",N('Dados Mensais'!G26)=0),"Informe a alíquota do Simulador",IF(AND(VLOOKUP(B26,'Tabelas MP 1.399'!$A$4:$E$20,4,FALSE)&lt;&gt;"Sim",'Dados Mensais'!E26&lt;&gt;"",'Dados Mensais'!E26&lt;&gt;"Não se aplica"),"Redução só vale para bebida alcoólica","")))</f>
        <v/>
      </c>
      <c r="L26">
        <f>IF(A26="",0,YEAR(A26)*100+MONTH(A26))</f>
        <v/>
      </c>
    </row>
    <row r="27">
      <c r="A27" s="11">
        <f>IF('Dados Mensais'!A27="","",'Dados Mensais'!A27)</f>
        <v/>
      </c>
      <c r="B27" s="12">
        <f>IF('Dados Mensais'!C27="","",'Dados Mensais'!C27)</f>
        <v/>
      </c>
      <c r="C27" s="13">
        <f>IF('Dados Mensais'!C27="",0,N('Dados Mensais'!D27))</f>
        <v/>
      </c>
      <c r="D27" s="14">
        <f>IF(B27="",0,IF(B27="Veículos (alíquota do Simulador)",0,VLOOKUP(B27,'Tabelas MP 1.399'!$A$4:$E$20,2,FALSE)))</f>
        <v/>
      </c>
      <c r="E27" s="14">
        <f>IF(B27="Veículos (alíquota do Simulador)",N('Dados Mensais'!G27),D27)</f>
        <v/>
      </c>
      <c r="F27" s="14">
        <f>IF(B27="",0,IF(VLOOKUP(B27,'Tabelas MP 1.399'!$A$4:$E$20,4,FALSE)="Sim",IFERROR(VLOOKUP('Dados Mensais'!E27,'Tabelas MP 1.399'!$G$4:$H$7,2,FALSE),0),0))</f>
        <v/>
      </c>
      <c r="G27" s="14">
        <f>E27*(1-F27)</f>
        <v/>
      </c>
      <c r="H27" s="13">
        <f>C27*G27</f>
        <v/>
      </c>
      <c r="I27" s="13">
        <f>IF(B27="",0,N('Dados Mensais'!F27)*VLOOKUP(B27,'Tabelas MP 1.399'!$A$4:$E$20,3,FALSE))</f>
        <v/>
      </c>
      <c r="J27" s="13">
        <f>H27+I27</f>
        <v/>
      </c>
      <c r="K27" s="12">
        <f>IF(B27="","",IF(AND(B27="Veículos (alíquota do Simulador)",N('Dados Mensais'!G27)=0),"Informe a alíquota do Simulador",IF(AND(VLOOKUP(B27,'Tabelas MP 1.399'!$A$4:$E$20,4,FALSE)&lt;&gt;"Sim",'Dados Mensais'!E27&lt;&gt;"",'Dados Mensais'!E27&lt;&gt;"Não se aplica"),"Redução só vale para bebida alcoólica","")))</f>
        <v/>
      </c>
      <c r="L27">
        <f>IF(A27="",0,YEAR(A27)*100+MONTH(A27))</f>
        <v/>
      </c>
    </row>
    <row r="28">
      <c r="A28" s="11">
        <f>IF('Dados Mensais'!A28="","",'Dados Mensais'!A28)</f>
        <v/>
      </c>
      <c r="B28" s="12">
        <f>IF('Dados Mensais'!C28="","",'Dados Mensais'!C28)</f>
        <v/>
      </c>
      <c r="C28" s="13">
        <f>IF('Dados Mensais'!C28="",0,N('Dados Mensais'!D28))</f>
        <v/>
      </c>
      <c r="D28" s="14">
        <f>IF(B28="",0,IF(B28="Veículos (alíquota do Simulador)",0,VLOOKUP(B28,'Tabelas MP 1.399'!$A$4:$E$20,2,FALSE)))</f>
        <v/>
      </c>
      <c r="E28" s="14">
        <f>IF(B28="Veículos (alíquota do Simulador)",N('Dados Mensais'!G28),D28)</f>
        <v/>
      </c>
      <c r="F28" s="14">
        <f>IF(B28="",0,IF(VLOOKUP(B28,'Tabelas MP 1.399'!$A$4:$E$20,4,FALSE)="Sim",IFERROR(VLOOKUP('Dados Mensais'!E28,'Tabelas MP 1.399'!$G$4:$H$7,2,FALSE),0),0))</f>
        <v/>
      </c>
      <c r="G28" s="14">
        <f>E28*(1-F28)</f>
        <v/>
      </c>
      <c r="H28" s="13">
        <f>C28*G28</f>
        <v/>
      </c>
      <c r="I28" s="13">
        <f>IF(B28="",0,N('Dados Mensais'!F28)*VLOOKUP(B28,'Tabelas MP 1.399'!$A$4:$E$20,3,FALSE))</f>
        <v/>
      </c>
      <c r="J28" s="13">
        <f>H28+I28</f>
        <v/>
      </c>
      <c r="K28" s="12">
        <f>IF(B28="","",IF(AND(B28="Veículos (alíquota do Simulador)",N('Dados Mensais'!G28)=0),"Informe a alíquota do Simulador",IF(AND(VLOOKUP(B28,'Tabelas MP 1.399'!$A$4:$E$20,4,FALSE)&lt;&gt;"Sim",'Dados Mensais'!E28&lt;&gt;"",'Dados Mensais'!E28&lt;&gt;"Não se aplica"),"Redução só vale para bebida alcoólica","")))</f>
        <v/>
      </c>
      <c r="L28">
        <f>IF(A28="",0,YEAR(A28)*100+MONTH(A28))</f>
        <v/>
      </c>
    </row>
    <row r="29">
      <c r="A29" s="11">
        <f>IF('Dados Mensais'!A29="","",'Dados Mensais'!A29)</f>
        <v/>
      </c>
      <c r="B29" s="12">
        <f>IF('Dados Mensais'!C29="","",'Dados Mensais'!C29)</f>
        <v/>
      </c>
      <c r="C29" s="13">
        <f>IF('Dados Mensais'!C29="",0,N('Dados Mensais'!D29))</f>
        <v/>
      </c>
      <c r="D29" s="14">
        <f>IF(B29="",0,IF(B29="Veículos (alíquota do Simulador)",0,VLOOKUP(B29,'Tabelas MP 1.399'!$A$4:$E$20,2,FALSE)))</f>
        <v/>
      </c>
      <c r="E29" s="14">
        <f>IF(B29="Veículos (alíquota do Simulador)",N('Dados Mensais'!G29),D29)</f>
        <v/>
      </c>
      <c r="F29" s="14">
        <f>IF(B29="",0,IF(VLOOKUP(B29,'Tabelas MP 1.399'!$A$4:$E$20,4,FALSE)="Sim",IFERROR(VLOOKUP('Dados Mensais'!E29,'Tabelas MP 1.399'!$G$4:$H$7,2,FALSE),0),0))</f>
        <v/>
      </c>
      <c r="G29" s="14">
        <f>E29*(1-F29)</f>
        <v/>
      </c>
      <c r="H29" s="13">
        <f>C29*G29</f>
        <v/>
      </c>
      <c r="I29" s="13">
        <f>IF(B29="",0,N('Dados Mensais'!F29)*VLOOKUP(B29,'Tabelas MP 1.399'!$A$4:$E$20,3,FALSE))</f>
        <v/>
      </c>
      <c r="J29" s="13">
        <f>H29+I29</f>
        <v/>
      </c>
      <c r="K29" s="12">
        <f>IF(B29="","",IF(AND(B29="Veículos (alíquota do Simulador)",N('Dados Mensais'!G29)=0),"Informe a alíquota do Simulador",IF(AND(VLOOKUP(B29,'Tabelas MP 1.399'!$A$4:$E$20,4,FALSE)&lt;&gt;"Sim",'Dados Mensais'!E29&lt;&gt;"",'Dados Mensais'!E29&lt;&gt;"Não se aplica"),"Redução só vale para bebida alcoólica","")))</f>
        <v/>
      </c>
      <c r="L29">
        <f>IF(A29="",0,YEAR(A29)*100+MONTH(A29))</f>
        <v/>
      </c>
    </row>
    <row r="30">
      <c r="A30" s="11">
        <f>IF('Dados Mensais'!A30="","",'Dados Mensais'!A30)</f>
        <v/>
      </c>
      <c r="B30" s="12">
        <f>IF('Dados Mensais'!C30="","",'Dados Mensais'!C30)</f>
        <v/>
      </c>
      <c r="C30" s="13">
        <f>IF('Dados Mensais'!C30="",0,N('Dados Mensais'!D30))</f>
        <v/>
      </c>
      <c r="D30" s="14">
        <f>IF(B30="",0,IF(B30="Veículos (alíquota do Simulador)",0,VLOOKUP(B30,'Tabelas MP 1.399'!$A$4:$E$20,2,FALSE)))</f>
        <v/>
      </c>
      <c r="E30" s="14">
        <f>IF(B30="Veículos (alíquota do Simulador)",N('Dados Mensais'!G30),D30)</f>
        <v/>
      </c>
      <c r="F30" s="14">
        <f>IF(B30="",0,IF(VLOOKUP(B30,'Tabelas MP 1.399'!$A$4:$E$20,4,FALSE)="Sim",IFERROR(VLOOKUP('Dados Mensais'!E30,'Tabelas MP 1.399'!$G$4:$H$7,2,FALSE),0),0))</f>
        <v/>
      </c>
      <c r="G30" s="14">
        <f>E30*(1-F30)</f>
        <v/>
      </c>
      <c r="H30" s="13">
        <f>C30*G30</f>
        <v/>
      </c>
      <c r="I30" s="13">
        <f>IF(B30="",0,N('Dados Mensais'!F30)*VLOOKUP(B30,'Tabelas MP 1.399'!$A$4:$E$20,3,FALSE))</f>
        <v/>
      </c>
      <c r="J30" s="13">
        <f>H30+I30</f>
        <v/>
      </c>
      <c r="K30" s="12">
        <f>IF(B30="","",IF(AND(B30="Veículos (alíquota do Simulador)",N('Dados Mensais'!G30)=0),"Informe a alíquota do Simulador",IF(AND(VLOOKUP(B30,'Tabelas MP 1.399'!$A$4:$E$20,4,FALSE)&lt;&gt;"Sim",'Dados Mensais'!E30&lt;&gt;"",'Dados Mensais'!E30&lt;&gt;"Não se aplica"),"Redução só vale para bebida alcoólica","")))</f>
        <v/>
      </c>
      <c r="L30">
        <f>IF(A30="",0,YEAR(A30)*100+MONTH(A30))</f>
        <v/>
      </c>
    </row>
    <row r="31">
      <c r="A31" s="11">
        <f>IF('Dados Mensais'!A31="","",'Dados Mensais'!A31)</f>
        <v/>
      </c>
      <c r="B31" s="12">
        <f>IF('Dados Mensais'!C31="","",'Dados Mensais'!C31)</f>
        <v/>
      </c>
      <c r="C31" s="13">
        <f>IF('Dados Mensais'!C31="",0,N('Dados Mensais'!D31))</f>
        <v/>
      </c>
      <c r="D31" s="14">
        <f>IF(B31="",0,IF(B31="Veículos (alíquota do Simulador)",0,VLOOKUP(B31,'Tabelas MP 1.399'!$A$4:$E$20,2,FALSE)))</f>
        <v/>
      </c>
      <c r="E31" s="14">
        <f>IF(B31="Veículos (alíquota do Simulador)",N('Dados Mensais'!G31),D31)</f>
        <v/>
      </c>
      <c r="F31" s="14">
        <f>IF(B31="",0,IF(VLOOKUP(B31,'Tabelas MP 1.399'!$A$4:$E$20,4,FALSE)="Sim",IFERROR(VLOOKUP('Dados Mensais'!E31,'Tabelas MP 1.399'!$G$4:$H$7,2,FALSE),0),0))</f>
        <v/>
      </c>
      <c r="G31" s="14">
        <f>E31*(1-F31)</f>
        <v/>
      </c>
      <c r="H31" s="13">
        <f>C31*G31</f>
        <v/>
      </c>
      <c r="I31" s="13">
        <f>IF(B31="",0,N('Dados Mensais'!F31)*VLOOKUP(B31,'Tabelas MP 1.399'!$A$4:$E$20,3,FALSE))</f>
        <v/>
      </c>
      <c r="J31" s="13">
        <f>H31+I31</f>
        <v/>
      </c>
      <c r="K31" s="12">
        <f>IF(B31="","",IF(AND(B31="Veículos (alíquota do Simulador)",N('Dados Mensais'!G31)=0),"Informe a alíquota do Simulador",IF(AND(VLOOKUP(B31,'Tabelas MP 1.399'!$A$4:$E$20,4,FALSE)&lt;&gt;"Sim",'Dados Mensais'!E31&lt;&gt;"",'Dados Mensais'!E31&lt;&gt;"Não se aplica"),"Redução só vale para bebida alcoólica","")))</f>
        <v/>
      </c>
      <c r="L31">
        <f>IF(A31="",0,YEAR(A31)*100+MONTH(A31))</f>
        <v/>
      </c>
    </row>
    <row r="32">
      <c r="A32" s="11">
        <f>IF('Dados Mensais'!A32="","",'Dados Mensais'!A32)</f>
        <v/>
      </c>
      <c r="B32" s="12">
        <f>IF('Dados Mensais'!C32="","",'Dados Mensais'!C32)</f>
        <v/>
      </c>
      <c r="C32" s="13">
        <f>IF('Dados Mensais'!C32="",0,N('Dados Mensais'!D32))</f>
        <v/>
      </c>
      <c r="D32" s="14">
        <f>IF(B32="",0,IF(B32="Veículos (alíquota do Simulador)",0,VLOOKUP(B32,'Tabelas MP 1.399'!$A$4:$E$20,2,FALSE)))</f>
        <v/>
      </c>
      <c r="E32" s="14">
        <f>IF(B32="Veículos (alíquota do Simulador)",N('Dados Mensais'!G32),D32)</f>
        <v/>
      </c>
      <c r="F32" s="14">
        <f>IF(B32="",0,IF(VLOOKUP(B32,'Tabelas MP 1.399'!$A$4:$E$20,4,FALSE)="Sim",IFERROR(VLOOKUP('Dados Mensais'!E32,'Tabelas MP 1.399'!$G$4:$H$7,2,FALSE),0),0))</f>
        <v/>
      </c>
      <c r="G32" s="14">
        <f>E32*(1-F32)</f>
        <v/>
      </c>
      <c r="H32" s="13">
        <f>C32*G32</f>
        <v/>
      </c>
      <c r="I32" s="13">
        <f>IF(B32="",0,N('Dados Mensais'!F32)*VLOOKUP(B32,'Tabelas MP 1.399'!$A$4:$E$20,3,FALSE))</f>
        <v/>
      </c>
      <c r="J32" s="13">
        <f>H32+I32</f>
        <v/>
      </c>
      <c r="K32" s="12">
        <f>IF(B32="","",IF(AND(B32="Veículos (alíquota do Simulador)",N('Dados Mensais'!G32)=0),"Informe a alíquota do Simulador",IF(AND(VLOOKUP(B32,'Tabelas MP 1.399'!$A$4:$E$20,4,FALSE)&lt;&gt;"Sim",'Dados Mensais'!E32&lt;&gt;"",'Dados Mensais'!E32&lt;&gt;"Não se aplica"),"Redução só vale para bebida alcoólica","")))</f>
        <v/>
      </c>
      <c r="L32">
        <f>IF(A32="",0,YEAR(A32)*100+MONTH(A32))</f>
        <v/>
      </c>
    </row>
    <row r="33">
      <c r="A33" s="11">
        <f>IF('Dados Mensais'!A33="","",'Dados Mensais'!A33)</f>
        <v/>
      </c>
      <c r="B33" s="12">
        <f>IF('Dados Mensais'!C33="","",'Dados Mensais'!C33)</f>
        <v/>
      </c>
      <c r="C33" s="13">
        <f>IF('Dados Mensais'!C33="",0,N('Dados Mensais'!D33))</f>
        <v/>
      </c>
      <c r="D33" s="14">
        <f>IF(B33="",0,IF(B33="Veículos (alíquota do Simulador)",0,VLOOKUP(B33,'Tabelas MP 1.399'!$A$4:$E$20,2,FALSE)))</f>
        <v/>
      </c>
      <c r="E33" s="14">
        <f>IF(B33="Veículos (alíquota do Simulador)",N('Dados Mensais'!G33),D33)</f>
        <v/>
      </c>
      <c r="F33" s="14">
        <f>IF(B33="",0,IF(VLOOKUP(B33,'Tabelas MP 1.399'!$A$4:$E$20,4,FALSE)="Sim",IFERROR(VLOOKUP('Dados Mensais'!E33,'Tabelas MP 1.399'!$G$4:$H$7,2,FALSE),0),0))</f>
        <v/>
      </c>
      <c r="G33" s="14">
        <f>E33*(1-F33)</f>
        <v/>
      </c>
      <c r="H33" s="13">
        <f>C33*G33</f>
        <v/>
      </c>
      <c r="I33" s="13">
        <f>IF(B33="",0,N('Dados Mensais'!F33)*VLOOKUP(B33,'Tabelas MP 1.399'!$A$4:$E$20,3,FALSE))</f>
        <v/>
      </c>
      <c r="J33" s="13">
        <f>H33+I33</f>
        <v/>
      </c>
      <c r="K33" s="12">
        <f>IF(B33="","",IF(AND(B33="Veículos (alíquota do Simulador)",N('Dados Mensais'!G33)=0),"Informe a alíquota do Simulador",IF(AND(VLOOKUP(B33,'Tabelas MP 1.399'!$A$4:$E$20,4,FALSE)&lt;&gt;"Sim",'Dados Mensais'!E33&lt;&gt;"",'Dados Mensais'!E33&lt;&gt;"Não se aplica"),"Redução só vale para bebida alcoólica","")))</f>
        <v/>
      </c>
      <c r="L33">
        <f>IF(A33="",0,YEAR(A33)*100+MONTH(A33))</f>
        <v/>
      </c>
    </row>
    <row r="34">
      <c r="A34" s="11">
        <f>IF('Dados Mensais'!A34="","",'Dados Mensais'!A34)</f>
        <v/>
      </c>
      <c r="B34" s="12">
        <f>IF('Dados Mensais'!C34="","",'Dados Mensais'!C34)</f>
        <v/>
      </c>
      <c r="C34" s="13">
        <f>IF('Dados Mensais'!C34="",0,N('Dados Mensais'!D34))</f>
        <v/>
      </c>
      <c r="D34" s="14">
        <f>IF(B34="",0,IF(B34="Veículos (alíquota do Simulador)",0,VLOOKUP(B34,'Tabelas MP 1.399'!$A$4:$E$20,2,FALSE)))</f>
        <v/>
      </c>
      <c r="E34" s="14">
        <f>IF(B34="Veículos (alíquota do Simulador)",N('Dados Mensais'!G34),D34)</f>
        <v/>
      </c>
      <c r="F34" s="14">
        <f>IF(B34="",0,IF(VLOOKUP(B34,'Tabelas MP 1.399'!$A$4:$E$20,4,FALSE)="Sim",IFERROR(VLOOKUP('Dados Mensais'!E34,'Tabelas MP 1.399'!$G$4:$H$7,2,FALSE),0),0))</f>
        <v/>
      </c>
      <c r="G34" s="14">
        <f>E34*(1-F34)</f>
        <v/>
      </c>
      <c r="H34" s="13">
        <f>C34*G34</f>
        <v/>
      </c>
      <c r="I34" s="13">
        <f>IF(B34="",0,N('Dados Mensais'!F34)*VLOOKUP(B34,'Tabelas MP 1.399'!$A$4:$E$20,3,FALSE))</f>
        <v/>
      </c>
      <c r="J34" s="13">
        <f>H34+I34</f>
        <v/>
      </c>
      <c r="K34" s="12">
        <f>IF(B34="","",IF(AND(B34="Veículos (alíquota do Simulador)",N('Dados Mensais'!G34)=0),"Informe a alíquota do Simulador",IF(AND(VLOOKUP(B34,'Tabelas MP 1.399'!$A$4:$E$20,4,FALSE)&lt;&gt;"Sim",'Dados Mensais'!E34&lt;&gt;"",'Dados Mensais'!E34&lt;&gt;"Não se aplica"),"Redução só vale para bebida alcoólica","")))</f>
        <v/>
      </c>
      <c r="L34">
        <f>IF(A34="",0,YEAR(A34)*100+MONTH(A34))</f>
        <v/>
      </c>
    </row>
    <row r="35">
      <c r="A35" s="11">
        <f>IF('Dados Mensais'!A35="","",'Dados Mensais'!A35)</f>
        <v/>
      </c>
      <c r="B35" s="12">
        <f>IF('Dados Mensais'!C35="","",'Dados Mensais'!C35)</f>
        <v/>
      </c>
      <c r="C35" s="13">
        <f>IF('Dados Mensais'!C35="",0,N('Dados Mensais'!D35))</f>
        <v/>
      </c>
      <c r="D35" s="14">
        <f>IF(B35="",0,IF(B35="Veículos (alíquota do Simulador)",0,VLOOKUP(B35,'Tabelas MP 1.399'!$A$4:$E$20,2,FALSE)))</f>
        <v/>
      </c>
      <c r="E35" s="14">
        <f>IF(B35="Veículos (alíquota do Simulador)",N('Dados Mensais'!G35),D35)</f>
        <v/>
      </c>
      <c r="F35" s="14">
        <f>IF(B35="",0,IF(VLOOKUP(B35,'Tabelas MP 1.399'!$A$4:$E$20,4,FALSE)="Sim",IFERROR(VLOOKUP('Dados Mensais'!E35,'Tabelas MP 1.399'!$G$4:$H$7,2,FALSE),0),0))</f>
        <v/>
      </c>
      <c r="G35" s="14">
        <f>E35*(1-F35)</f>
        <v/>
      </c>
      <c r="H35" s="13">
        <f>C35*G35</f>
        <v/>
      </c>
      <c r="I35" s="13">
        <f>IF(B35="",0,N('Dados Mensais'!F35)*VLOOKUP(B35,'Tabelas MP 1.399'!$A$4:$E$20,3,FALSE))</f>
        <v/>
      </c>
      <c r="J35" s="13">
        <f>H35+I35</f>
        <v/>
      </c>
      <c r="K35" s="12">
        <f>IF(B35="","",IF(AND(B35="Veículos (alíquota do Simulador)",N('Dados Mensais'!G35)=0),"Informe a alíquota do Simulador",IF(AND(VLOOKUP(B35,'Tabelas MP 1.399'!$A$4:$E$20,4,FALSE)&lt;&gt;"Sim",'Dados Mensais'!E35&lt;&gt;"",'Dados Mensais'!E35&lt;&gt;"Não se aplica"),"Redução só vale para bebida alcoólica","")))</f>
        <v/>
      </c>
      <c r="L35">
        <f>IF(A35="",0,YEAR(A35)*100+MONTH(A35))</f>
        <v/>
      </c>
    </row>
    <row r="36">
      <c r="A36" s="11">
        <f>IF('Dados Mensais'!A36="","",'Dados Mensais'!A36)</f>
        <v/>
      </c>
      <c r="B36" s="12">
        <f>IF('Dados Mensais'!C36="","",'Dados Mensais'!C36)</f>
        <v/>
      </c>
      <c r="C36" s="13">
        <f>IF('Dados Mensais'!C36="",0,N('Dados Mensais'!D36))</f>
        <v/>
      </c>
      <c r="D36" s="14">
        <f>IF(B36="",0,IF(B36="Veículos (alíquota do Simulador)",0,VLOOKUP(B36,'Tabelas MP 1.399'!$A$4:$E$20,2,FALSE)))</f>
        <v/>
      </c>
      <c r="E36" s="14">
        <f>IF(B36="Veículos (alíquota do Simulador)",N('Dados Mensais'!G36),D36)</f>
        <v/>
      </c>
      <c r="F36" s="14">
        <f>IF(B36="",0,IF(VLOOKUP(B36,'Tabelas MP 1.399'!$A$4:$E$20,4,FALSE)="Sim",IFERROR(VLOOKUP('Dados Mensais'!E36,'Tabelas MP 1.399'!$G$4:$H$7,2,FALSE),0),0))</f>
        <v/>
      </c>
      <c r="G36" s="14">
        <f>E36*(1-F36)</f>
        <v/>
      </c>
      <c r="H36" s="13">
        <f>C36*G36</f>
        <v/>
      </c>
      <c r="I36" s="13">
        <f>IF(B36="",0,N('Dados Mensais'!F36)*VLOOKUP(B36,'Tabelas MP 1.399'!$A$4:$E$20,3,FALSE))</f>
        <v/>
      </c>
      <c r="J36" s="13">
        <f>H36+I36</f>
        <v/>
      </c>
      <c r="K36" s="12">
        <f>IF(B36="","",IF(AND(B36="Veículos (alíquota do Simulador)",N('Dados Mensais'!G36)=0),"Informe a alíquota do Simulador",IF(AND(VLOOKUP(B36,'Tabelas MP 1.399'!$A$4:$E$20,4,FALSE)&lt;&gt;"Sim",'Dados Mensais'!E36&lt;&gt;"",'Dados Mensais'!E36&lt;&gt;"Não se aplica"),"Redução só vale para bebida alcoólica","")))</f>
        <v/>
      </c>
      <c r="L36">
        <f>IF(A36="",0,YEAR(A36)*100+MONTH(A36))</f>
        <v/>
      </c>
    </row>
    <row r="37">
      <c r="A37" s="11">
        <f>IF('Dados Mensais'!A37="","",'Dados Mensais'!A37)</f>
        <v/>
      </c>
      <c r="B37" s="12">
        <f>IF('Dados Mensais'!C37="","",'Dados Mensais'!C37)</f>
        <v/>
      </c>
      <c r="C37" s="13">
        <f>IF('Dados Mensais'!C37="",0,N('Dados Mensais'!D37))</f>
        <v/>
      </c>
      <c r="D37" s="14">
        <f>IF(B37="",0,IF(B37="Veículos (alíquota do Simulador)",0,VLOOKUP(B37,'Tabelas MP 1.399'!$A$4:$E$20,2,FALSE)))</f>
        <v/>
      </c>
      <c r="E37" s="14">
        <f>IF(B37="Veículos (alíquota do Simulador)",N('Dados Mensais'!G37),D37)</f>
        <v/>
      </c>
      <c r="F37" s="14">
        <f>IF(B37="",0,IF(VLOOKUP(B37,'Tabelas MP 1.399'!$A$4:$E$20,4,FALSE)="Sim",IFERROR(VLOOKUP('Dados Mensais'!E37,'Tabelas MP 1.399'!$G$4:$H$7,2,FALSE),0),0))</f>
        <v/>
      </c>
      <c r="G37" s="14">
        <f>E37*(1-F37)</f>
        <v/>
      </c>
      <c r="H37" s="13">
        <f>C37*G37</f>
        <v/>
      </c>
      <c r="I37" s="13">
        <f>IF(B37="",0,N('Dados Mensais'!F37)*VLOOKUP(B37,'Tabelas MP 1.399'!$A$4:$E$20,3,FALSE))</f>
        <v/>
      </c>
      <c r="J37" s="13">
        <f>H37+I37</f>
        <v/>
      </c>
      <c r="K37" s="12">
        <f>IF(B37="","",IF(AND(B37="Veículos (alíquota do Simulador)",N('Dados Mensais'!G37)=0),"Informe a alíquota do Simulador",IF(AND(VLOOKUP(B37,'Tabelas MP 1.399'!$A$4:$E$20,4,FALSE)&lt;&gt;"Sim",'Dados Mensais'!E37&lt;&gt;"",'Dados Mensais'!E37&lt;&gt;"Não se aplica"),"Redução só vale para bebida alcoólica","")))</f>
        <v/>
      </c>
      <c r="L37">
        <f>IF(A37="",0,YEAR(A37)*100+MONTH(A37))</f>
        <v/>
      </c>
    </row>
    <row r="38">
      <c r="A38" s="11">
        <f>IF('Dados Mensais'!A38="","",'Dados Mensais'!A38)</f>
        <v/>
      </c>
      <c r="B38" s="12">
        <f>IF('Dados Mensais'!C38="","",'Dados Mensais'!C38)</f>
        <v/>
      </c>
      <c r="C38" s="13">
        <f>IF('Dados Mensais'!C38="",0,N('Dados Mensais'!D38))</f>
        <v/>
      </c>
      <c r="D38" s="14">
        <f>IF(B38="",0,IF(B38="Veículos (alíquota do Simulador)",0,VLOOKUP(B38,'Tabelas MP 1.399'!$A$4:$E$20,2,FALSE)))</f>
        <v/>
      </c>
      <c r="E38" s="14">
        <f>IF(B38="Veículos (alíquota do Simulador)",N('Dados Mensais'!G38),D38)</f>
        <v/>
      </c>
      <c r="F38" s="14">
        <f>IF(B38="",0,IF(VLOOKUP(B38,'Tabelas MP 1.399'!$A$4:$E$20,4,FALSE)="Sim",IFERROR(VLOOKUP('Dados Mensais'!E38,'Tabelas MP 1.399'!$G$4:$H$7,2,FALSE),0),0))</f>
        <v/>
      </c>
      <c r="G38" s="14">
        <f>E38*(1-F38)</f>
        <v/>
      </c>
      <c r="H38" s="13">
        <f>C38*G38</f>
        <v/>
      </c>
      <c r="I38" s="13">
        <f>IF(B38="",0,N('Dados Mensais'!F38)*VLOOKUP(B38,'Tabelas MP 1.399'!$A$4:$E$20,3,FALSE))</f>
        <v/>
      </c>
      <c r="J38" s="13">
        <f>H38+I38</f>
        <v/>
      </c>
      <c r="K38" s="12">
        <f>IF(B38="","",IF(AND(B38="Veículos (alíquota do Simulador)",N('Dados Mensais'!G38)=0),"Informe a alíquota do Simulador",IF(AND(VLOOKUP(B38,'Tabelas MP 1.399'!$A$4:$E$20,4,FALSE)&lt;&gt;"Sim",'Dados Mensais'!E38&lt;&gt;"",'Dados Mensais'!E38&lt;&gt;"Não se aplica"),"Redução só vale para bebida alcoólica","")))</f>
        <v/>
      </c>
      <c r="L38">
        <f>IF(A38="",0,YEAR(A38)*100+MONTH(A38))</f>
        <v/>
      </c>
    </row>
    <row r="39">
      <c r="A39" s="11">
        <f>IF('Dados Mensais'!A39="","",'Dados Mensais'!A39)</f>
        <v/>
      </c>
      <c r="B39" s="12">
        <f>IF('Dados Mensais'!C39="","",'Dados Mensais'!C39)</f>
        <v/>
      </c>
      <c r="C39" s="13">
        <f>IF('Dados Mensais'!C39="",0,N('Dados Mensais'!D39))</f>
        <v/>
      </c>
      <c r="D39" s="14">
        <f>IF(B39="",0,IF(B39="Veículos (alíquota do Simulador)",0,VLOOKUP(B39,'Tabelas MP 1.399'!$A$4:$E$20,2,FALSE)))</f>
        <v/>
      </c>
      <c r="E39" s="14">
        <f>IF(B39="Veículos (alíquota do Simulador)",N('Dados Mensais'!G39),D39)</f>
        <v/>
      </c>
      <c r="F39" s="14">
        <f>IF(B39="",0,IF(VLOOKUP(B39,'Tabelas MP 1.399'!$A$4:$E$20,4,FALSE)="Sim",IFERROR(VLOOKUP('Dados Mensais'!E39,'Tabelas MP 1.399'!$G$4:$H$7,2,FALSE),0),0))</f>
        <v/>
      </c>
      <c r="G39" s="14">
        <f>E39*(1-F39)</f>
        <v/>
      </c>
      <c r="H39" s="13">
        <f>C39*G39</f>
        <v/>
      </c>
      <c r="I39" s="13">
        <f>IF(B39="",0,N('Dados Mensais'!F39)*VLOOKUP(B39,'Tabelas MP 1.399'!$A$4:$E$20,3,FALSE))</f>
        <v/>
      </c>
      <c r="J39" s="13">
        <f>H39+I39</f>
        <v/>
      </c>
      <c r="K39" s="12">
        <f>IF(B39="","",IF(AND(B39="Veículos (alíquota do Simulador)",N('Dados Mensais'!G39)=0),"Informe a alíquota do Simulador",IF(AND(VLOOKUP(B39,'Tabelas MP 1.399'!$A$4:$E$20,4,FALSE)&lt;&gt;"Sim",'Dados Mensais'!E39&lt;&gt;"",'Dados Mensais'!E39&lt;&gt;"Não se aplica"),"Redução só vale para bebida alcoólica","")))</f>
        <v/>
      </c>
      <c r="L39">
        <f>IF(A39="",0,YEAR(A39)*100+MONTH(A39))</f>
        <v/>
      </c>
    </row>
    <row r="40">
      <c r="A40" s="11">
        <f>IF('Dados Mensais'!A40="","",'Dados Mensais'!A40)</f>
        <v/>
      </c>
      <c r="B40" s="12">
        <f>IF('Dados Mensais'!C40="","",'Dados Mensais'!C40)</f>
        <v/>
      </c>
      <c r="C40" s="13">
        <f>IF('Dados Mensais'!C40="",0,N('Dados Mensais'!D40))</f>
        <v/>
      </c>
      <c r="D40" s="14">
        <f>IF(B40="",0,IF(B40="Veículos (alíquota do Simulador)",0,VLOOKUP(B40,'Tabelas MP 1.399'!$A$4:$E$20,2,FALSE)))</f>
        <v/>
      </c>
      <c r="E40" s="14">
        <f>IF(B40="Veículos (alíquota do Simulador)",N('Dados Mensais'!G40),D40)</f>
        <v/>
      </c>
      <c r="F40" s="14">
        <f>IF(B40="",0,IF(VLOOKUP(B40,'Tabelas MP 1.399'!$A$4:$E$20,4,FALSE)="Sim",IFERROR(VLOOKUP('Dados Mensais'!E40,'Tabelas MP 1.399'!$G$4:$H$7,2,FALSE),0),0))</f>
        <v/>
      </c>
      <c r="G40" s="14">
        <f>E40*(1-F40)</f>
        <v/>
      </c>
      <c r="H40" s="13">
        <f>C40*G40</f>
        <v/>
      </c>
      <c r="I40" s="13">
        <f>IF(B40="",0,N('Dados Mensais'!F40)*VLOOKUP(B40,'Tabelas MP 1.399'!$A$4:$E$20,3,FALSE))</f>
        <v/>
      </c>
      <c r="J40" s="13">
        <f>H40+I40</f>
        <v/>
      </c>
      <c r="K40" s="12">
        <f>IF(B40="","",IF(AND(B40="Veículos (alíquota do Simulador)",N('Dados Mensais'!G40)=0),"Informe a alíquota do Simulador",IF(AND(VLOOKUP(B40,'Tabelas MP 1.399'!$A$4:$E$20,4,FALSE)&lt;&gt;"Sim",'Dados Mensais'!E40&lt;&gt;"",'Dados Mensais'!E40&lt;&gt;"Não se aplica"),"Redução só vale para bebida alcoólica","")))</f>
        <v/>
      </c>
      <c r="L40">
        <f>IF(A40="",0,YEAR(A40)*100+MONTH(A40))</f>
        <v/>
      </c>
    </row>
    <row r="41">
      <c r="A41" s="11">
        <f>IF('Dados Mensais'!A41="","",'Dados Mensais'!A41)</f>
        <v/>
      </c>
      <c r="B41" s="12">
        <f>IF('Dados Mensais'!C41="","",'Dados Mensais'!C41)</f>
        <v/>
      </c>
      <c r="C41" s="13">
        <f>IF('Dados Mensais'!C41="",0,N('Dados Mensais'!D41))</f>
        <v/>
      </c>
      <c r="D41" s="14">
        <f>IF(B41="",0,IF(B41="Veículos (alíquota do Simulador)",0,VLOOKUP(B41,'Tabelas MP 1.399'!$A$4:$E$20,2,FALSE)))</f>
        <v/>
      </c>
      <c r="E41" s="14">
        <f>IF(B41="Veículos (alíquota do Simulador)",N('Dados Mensais'!G41),D41)</f>
        <v/>
      </c>
      <c r="F41" s="14">
        <f>IF(B41="",0,IF(VLOOKUP(B41,'Tabelas MP 1.399'!$A$4:$E$20,4,FALSE)="Sim",IFERROR(VLOOKUP('Dados Mensais'!E41,'Tabelas MP 1.399'!$G$4:$H$7,2,FALSE),0),0))</f>
        <v/>
      </c>
      <c r="G41" s="14">
        <f>E41*(1-F41)</f>
        <v/>
      </c>
      <c r="H41" s="13">
        <f>C41*G41</f>
        <v/>
      </c>
      <c r="I41" s="13">
        <f>IF(B41="",0,N('Dados Mensais'!F41)*VLOOKUP(B41,'Tabelas MP 1.399'!$A$4:$E$20,3,FALSE))</f>
        <v/>
      </c>
      <c r="J41" s="13">
        <f>H41+I41</f>
        <v/>
      </c>
      <c r="K41" s="12">
        <f>IF(B41="","",IF(AND(B41="Veículos (alíquota do Simulador)",N('Dados Mensais'!G41)=0),"Informe a alíquota do Simulador",IF(AND(VLOOKUP(B41,'Tabelas MP 1.399'!$A$4:$E$20,4,FALSE)&lt;&gt;"Sim",'Dados Mensais'!E41&lt;&gt;"",'Dados Mensais'!E41&lt;&gt;"Não se aplica"),"Redução só vale para bebida alcoólica","")))</f>
        <v/>
      </c>
      <c r="L41">
        <f>IF(A41="",0,YEAR(A41)*100+MONTH(A41))</f>
        <v/>
      </c>
    </row>
    <row r="42">
      <c r="B42" s="15" t="inlineStr">
        <is>
          <t>Total</t>
        </is>
      </c>
      <c r="C42" s="16">
        <f>SUM(C2:C41)</f>
        <v/>
      </c>
      <c r="H42" s="16">
        <f>SUM(H2:H41)</f>
        <v/>
      </c>
      <c r="I42" s="16">
        <f>SUM(I2:I41)</f>
        <v/>
      </c>
      <c r="J42" s="16">
        <f>SUM(J2:J41)</f>
        <v/>
      </c>
    </row>
  </sheetData>
  <conditionalFormatting sqref="K2:K41">
    <cfRule type="expression" priority="1" dxfId="0">
      <formula>K2&lt;&gt;""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44" customWidth="1" min="1" max="1"/>
    <col width="46" customWidth="1" min="2" max="2"/>
    <col width="46" customWidth="1" min="3" max="3"/>
  </cols>
  <sheetData>
    <row r="1">
      <c r="A1" s="17" t="inlineStr">
        <is>
          <t>Simulador de alíquota do IS para veículos (Anexos I, II, III e V da MP 1.399/2026)</t>
        </is>
      </c>
    </row>
    <row r="3">
      <c r="A3" s="5" t="inlineStr">
        <is>
          <t>Item</t>
        </is>
      </c>
      <c r="B3" s="5" t="inlineStr">
        <is>
          <t>Cenário A</t>
        </is>
      </c>
      <c r="C3" s="5" t="inlineStr">
        <is>
          <t>Cenário B</t>
        </is>
      </c>
    </row>
    <row r="4">
      <c r="A4" s="12" t="inlineStr">
        <is>
          <t>Posição do veículo</t>
        </is>
      </c>
      <c r="B4" s="7" t="inlineStr">
        <is>
          <t>87.03 — automóveis de passageiros</t>
        </is>
      </c>
      <c r="C4" s="7" t="inlineStr">
        <is>
          <t>87.03 — automóveis de passageiros</t>
        </is>
      </c>
    </row>
    <row r="5">
      <c r="A5" s="12" t="inlineStr">
        <is>
          <t>Tecnologia de propulsão</t>
        </is>
      </c>
      <c r="B5" s="7" t="inlineStr">
        <is>
          <t>Flex-fuel</t>
        </is>
      </c>
      <c r="C5" s="7" t="inlineStr">
        <is>
          <t>Gasolina</t>
        </is>
      </c>
    </row>
    <row r="6">
      <c r="A6" s="12" t="inlineStr">
        <is>
          <t>Potência do sistema de propulsão (kW)</t>
        </is>
      </c>
      <c r="B6" s="7" t="n">
        <v>80</v>
      </c>
      <c r="C6" s="7" t="n">
        <v>150</v>
      </c>
    </row>
    <row r="7">
      <c r="A7" s="12" t="inlineStr">
        <is>
          <t>Eficiência energética</t>
        </is>
      </c>
      <c r="B7" s="7" t="inlineStr">
        <is>
          <t>Atende ao item 3 do Anexo III do Decreto 12.549/2025</t>
        </is>
      </c>
      <c r="C7" s="7" t="inlineStr">
        <is>
          <t>Não atende ao item 2 nem ao item 3</t>
        </is>
      </c>
    </row>
    <row r="8">
      <c r="A8" s="12" t="inlineStr">
        <is>
          <t>Desempenho estrutural</t>
        </is>
      </c>
      <c r="B8" s="7" t="inlineStr">
        <is>
          <t>Não atende</t>
        </is>
      </c>
      <c r="C8" s="7" t="inlineStr">
        <is>
          <t>Não atende</t>
        </is>
      </c>
    </row>
    <row r="9">
      <c r="A9" s="12" t="inlineStr">
        <is>
          <t>Reciclabilidade</t>
        </is>
      </c>
      <c r="B9" s="7" t="inlineStr">
        <is>
          <t>Não atende ao item 17 nem ao item 18</t>
        </is>
      </c>
      <c r="C9" s="7" t="inlineStr">
        <is>
          <t>Não atende ao item 17 nem ao item 18</t>
        </is>
      </c>
    </row>
    <row r="10">
      <c r="A10" s="12" t="inlineStr">
        <is>
          <t>Valor tributável da venda (R$)</t>
        </is>
      </c>
      <c r="B10" s="8" t="n">
        <v>100000</v>
      </c>
      <c r="C10" s="8" t="n">
        <v>100000</v>
      </c>
    </row>
    <row r="12">
      <c r="A12" s="12" t="inlineStr">
        <is>
          <t>Alíquota-base (Anexo I)</t>
        </is>
      </c>
      <c r="B12" s="14">
        <f>VLOOKUP(B4,'Tabelas MP 1.399'!$G$11:$H$12,2,FALSE)</f>
        <v/>
      </c>
      <c r="C12" s="14">
        <f>VLOOKUP(C4,'Tabelas MP 1.399'!$G$11:$H$12,2,FALSE)</f>
        <v/>
      </c>
    </row>
    <row r="13">
      <c r="A13" s="12" t="inlineStr">
        <is>
          <t>Ajuste 1 — tecnologia</t>
        </is>
      </c>
      <c r="B13" s="14">
        <f>VLOOKUP(B5,'Tabelas MP 1.399'!$A$25:$C$38,IF(LEFT(B4,5)="87.03",2,3),FALSE)/100</f>
        <v/>
      </c>
      <c r="C13" s="14">
        <f>VLOOKUP(C5,'Tabelas MP 1.399'!$A$25:$C$38,IF(LEFT(C4,5)="87.03",2,3),FALSE)/100</f>
        <v/>
      </c>
    </row>
    <row r="14">
      <c r="A14" s="12" t="inlineStr">
        <is>
          <t>Ajuste 2 — eficiência energética</t>
        </is>
      </c>
      <c r="B14" s="14">
        <f>VLOOKUP(B7,'Tabelas MP 1.399'!$A$56:$B$58,2,FALSE)/100</f>
        <v/>
      </c>
      <c r="C14" s="14">
        <f>VLOOKUP(C7,'Tabelas MP 1.399'!$A$56:$B$58,2,FALSE)/100</f>
        <v/>
      </c>
    </row>
    <row r="15">
      <c r="A15" s="12" t="inlineStr">
        <is>
          <t>Ajuste 3 — potência</t>
        </is>
      </c>
      <c r="B15" s="14">
        <f>IF(LEFT(B4,5)="87.03",INDEX('Tabelas MP 1.399'!$B$42:$B$52,COUNTIF('Tabelas MP 1.399'!$A$42:$A$51,"&lt;"&amp;B6)+1),INDEX('Tabelas MP 1.399'!$D$42:$D$48,COUNTIF('Tabelas MP 1.399'!$C$42:$C$47,"&lt;"&amp;B6)+1))/100</f>
        <v/>
      </c>
      <c r="C15" s="14">
        <f>IF(LEFT(C4,5)="87.03",INDEX('Tabelas MP 1.399'!$B$42:$B$52,COUNTIF('Tabelas MP 1.399'!$A$42:$A$51,"&lt;"&amp;C6)+1),INDEX('Tabelas MP 1.399'!$D$42:$D$48,COUNTIF('Tabelas MP 1.399'!$C$42:$C$47,"&lt;"&amp;C6)+1))/100</f>
        <v/>
      </c>
    </row>
    <row r="16">
      <c r="A16" s="12" t="inlineStr">
        <is>
          <t>Ajuste 4 — desempenho estrutural</t>
        </is>
      </c>
      <c r="B16" s="14">
        <f>VLOOKUP(B8,'Tabelas MP 1.399'!$A$62:$B$63,2,FALSE)/100</f>
        <v/>
      </c>
      <c r="C16" s="14">
        <f>VLOOKUP(C8,'Tabelas MP 1.399'!$A$62:$B$63,2,FALSE)/100</f>
        <v/>
      </c>
    </row>
    <row r="17">
      <c r="A17" s="12" t="inlineStr">
        <is>
          <t>Ajuste 5 — reciclabilidade</t>
        </is>
      </c>
      <c r="B17" s="14">
        <f>VLOOKUP(B9,'Tabelas MP 1.399'!$A$67:$B$69,2,FALSE)/100</f>
        <v/>
      </c>
      <c r="C17" s="14">
        <f>VLOOKUP(C9,'Tabelas MP 1.399'!$A$67:$B$69,2,FALSE)/100</f>
        <v/>
      </c>
    </row>
    <row r="18">
      <c r="A18" s="12" t="inlineStr">
        <is>
          <t>Alíquota inicial (AI)</t>
        </is>
      </c>
      <c r="B18" s="14">
        <f>SUM(B12:B17)</f>
        <v/>
      </c>
      <c r="C18" s="14">
        <f>SUM(C12:C17)</f>
        <v/>
      </c>
    </row>
    <row r="19">
      <c r="A19" s="12" t="inlineStr">
        <is>
          <t>Fator de conversão</t>
        </is>
      </c>
      <c r="B19" s="18">
        <f>'Tabelas MP 1.399'!$B$71</f>
        <v/>
      </c>
      <c r="C19" s="18">
        <f>'Tabelas MP 1.399'!$B$71</f>
        <v/>
      </c>
    </row>
    <row r="20">
      <c r="A20" s="19" t="inlineStr">
        <is>
          <t>Alíquota final (AF = AI × 1,21)</t>
        </is>
      </c>
      <c r="B20" s="20">
        <f>B18*B19</f>
        <v/>
      </c>
      <c r="C20" s="20">
        <f>C18*C19</f>
        <v/>
      </c>
    </row>
    <row r="21">
      <c r="A21" s="19" t="inlineStr">
        <is>
          <t>Imposto Seletivo estimado (R$)</t>
        </is>
      </c>
      <c r="B21" s="21">
        <f>B10*MAX(B20,0)</f>
        <v/>
      </c>
      <c r="C21" s="21">
        <f>C10*MAX(C20,0)</f>
        <v/>
      </c>
    </row>
    <row r="22">
      <c r="A22" s="12" t="inlineStr">
        <is>
          <t>Alerta</t>
        </is>
      </c>
      <c r="B22" s="22">
        <f>IF(B18&lt;=0,"Alíquota inicial zero ou negativa: a MP não diz como tratar. Confirme com o contador.","OK")</f>
        <v/>
      </c>
      <c r="C22" s="22">
        <f>IF(C18&lt;=0,"Alíquota inicial zero ou negativa: a MP não diz como tratar. Confirme com o contador.","OK")</f>
        <v/>
      </c>
    </row>
    <row r="24">
      <c r="A24" s="15" t="inlineStr">
        <is>
          <t>Diferença de imposto entre os cenários (B − A)</t>
        </is>
      </c>
      <c r="B24" s="23">
        <f>C21-B21</f>
        <v/>
      </c>
    </row>
    <row r="26" ht="45" customHeight="1">
      <c r="A26" s="4" t="inlineStr">
        <is>
          <t>Não estão aplicados aqui: alíquota zero para PcD/TEA, táxi e veículos sustentáveis (art. 4º), não incidência sobre caminhões e veículos de uso militar ou de segurança pública (art. 5º) e as hipóteses das Notas Complementares da TIPI do art. 6º, III.</t>
        </is>
      </c>
    </row>
  </sheetData>
  <mergeCells count="1">
    <mergeCell ref="A26:C26"/>
  </mergeCells>
  <conditionalFormatting sqref="B22:C22">
    <cfRule type="expression" priority="1" dxfId="0">
      <formula>B22&lt;&gt;"OK"</formula>
    </cfRule>
  </conditionalFormatting>
  <dataValidations count="5">
    <dataValidation sqref="B4:C4" showDropDown="0" showInputMessage="0" showErrorMessage="0" allowBlank="0" type="list">
      <formula1>='Tabelas MP 1.399'!$G$11:$G$12</formula1>
    </dataValidation>
    <dataValidation sqref="B5:C5" showDropDown="0" showInputMessage="0" showErrorMessage="0" allowBlank="0" type="list">
      <formula1>='Tabelas MP 1.399'!$A$25:$A$38</formula1>
    </dataValidation>
    <dataValidation sqref="B7:C7" showDropDown="0" showInputMessage="0" showErrorMessage="0" allowBlank="0" type="list">
      <formula1>='Tabelas MP 1.399'!$A$56:$A$58</formula1>
    </dataValidation>
    <dataValidation sqref="B8:C8" showDropDown="0" showInputMessage="0" showErrorMessage="0" allowBlank="0" type="list">
      <formula1>='Tabelas MP 1.399'!$A$62:$A$63</formula1>
    </dataValidation>
    <dataValidation sqref="B9:C9" showDropDown="0" showInputMessage="0" showErrorMessage="0" allowBlank="0" type="list">
      <formula1>='Tabelas MP 1.399'!$A$67:$A$69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54" customWidth="1" min="1" max="1"/>
    <col width="18" customWidth="1" min="2" max="2"/>
    <col width="18" customWidth="1" min="3" max="3"/>
    <col width="12" customWidth="1" min="5" max="5"/>
    <col width="18" customWidth="1" min="6" max="6"/>
  </cols>
  <sheetData>
    <row r="1">
      <c r="A1" s="17" t="inlineStr">
        <is>
          <t>Imposto Seletivo estimado — resumo</t>
        </is>
      </c>
    </row>
    <row r="3">
      <c r="A3" s="15" t="inlineStr">
        <is>
          <t>IS total estimado (todas as operações)</t>
        </is>
      </c>
      <c r="B3" s="23">
        <f>'Cálculos'!J42</f>
        <v/>
      </c>
    </row>
    <row r="4">
      <c r="A4" t="inlineStr">
        <is>
          <t>Base de cálculo total</t>
        </is>
      </c>
      <c r="B4" s="24">
        <f>'Cálculos'!C42</f>
        <v/>
      </c>
    </row>
    <row r="5">
      <c r="A5" t="inlineStr">
        <is>
          <t>Carga média do IS sobre a base</t>
        </is>
      </c>
      <c r="B5" s="25">
        <f>IF(B4=0,0,B3/B4)</f>
        <v/>
      </c>
    </row>
    <row r="7">
      <c r="A7" s="5" t="inlineStr">
        <is>
          <t>Produto</t>
        </is>
      </c>
      <c r="B7" s="5" t="inlineStr">
        <is>
          <t>Base (R$)</t>
        </is>
      </c>
      <c r="C7" s="5" t="inlineStr">
        <is>
          <t>IS (R$)</t>
        </is>
      </c>
      <c r="E7" s="5" t="inlineStr">
        <is>
          <t>Mês</t>
        </is>
      </c>
      <c r="F7" s="5" t="inlineStr">
        <is>
          <t>IS do mês (R$)</t>
        </is>
      </c>
    </row>
    <row r="8">
      <c r="A8" s="12" t="inlineStr">
        <is>
          <t>Bebidas açucaradas (NCM 2202.10.00)</t>
        </is>
      </c>
      <c r="B8" s="13">
        <f>SUMIF('Cálculos'!$B$2:$B$41,A8,'Cálculos'!$C$2:$C$41)</f>
        <v/>
      </c>
      <c r="C8" s="13">
        <f>SUMIF('Cálculos'!$B$2:$B$41,A8,'Cálculos'!$J$2:$J$41)</f>
        <v/>
      </c>
      <c r="E8" s="11" t="n">
        <v>46388</v>
      </c>
      <c r="F8" s="13">
        <f>SUMIF('Cálculos'!$L$2:$L$41,YEAR(E8)*100+MONTH(E8),'Cálculos'!$J$2:$J$41)</f>
        <v/>
      </c>
    </row>
    <row r="9">
      <c r="A9" s="12" t="inlineStr">
        <is>
          <t>Cervejas de malte (NCM 22.03)</t>
        </is>
      </c>
      <c r="B9" s="13">
        <f>SUMIF('Cálculos'!$B$2:$B$41,A9,'Cálculos'!$C$2:$C$41)</f>
        <v/>
      </c>
      <c r="C9" s="13">
        <f>SUMIF('Cálculos'!$B$2:$B$41,A9,'Cálculos'!$J$2:$J$41)</f>
        <v/>
      </c>
      <c r="E9" s="11" t="n">
        <v>46419</v>
      </c>
      <c r="F9" s="13">
        <f>SUMIF('Cálculos'!$L$2:$L$41,YEAR(E9)*100+MONTH(E9),'Cálculos'!$J$2:$J$41)</f>
        <v/>
      </c>
    </row>
    <row r="10">
      <c r="A10" s="12" t="inlineStr">
        <is>
          <t>Vinhos e fermentados (22.04 e 22.06, regra geral)</t>
        </is>
      </c>
      <c r="B10" s="13">
        <f>SUMIF('Cálculos'!$B$2:$B$41,A10,'Cálculos'!$C$2:$C$41)</f>
        <v/>
      </c>
      <c r="C10" s="13">
        <f>SUMIF('Cálculos'!$B$2:$B$41,A10,'Cálculos'!$J$2:$J$41)</f>
        <v/>
      </c>
      <c r="E10" s="11" t="n">
        <v>46447</v>
      </c>
      <c r="F10" s="13">
        <f>SUMIF('Cálculos'!$L$2:$L$41,YEAR(E10)*100+MONTH(E10),'Cálculos'!$J$2:$J$41)</f>
        <v/>
      </c>
    </row>
    <row r="11">
      <c r="A11" s="12" t="inlineStr">
        <is>
          <t>Vermutes e demais da posição 22.05</t>
        </is>
      </c>
      <c r="B11" s="13">
        <f>SUMIF('Cálculos'!$B$2:$B$41,A11,'Cálculos'!$C$2:$C$41)</f>
        <v/>
      </c>
      <c r="C11" s="13">
        <f>SUMIF('Cálculos'!$B$2:$B$41,A11,'Cálculos'!$J$2:$J$41)</f>
        <v/>
      </c>
      <c r="E11" s="11" t="n">
        <v>46478</v>
      </c>
      <c r="F11" s="13">
        <f>SUMIF('Cálculos'!$L$2:$L$41,YEAR(E11)*100+MONTH(E11),'Cálculos'!$J$2:$J$41)</f>
        <v/>
      </c>
    </row>
    <row r="12">
      <c r="A12" s="12" t="inlineStr">
        <is>
          <t>Vinhos da madeira, do porto e de xerez</t>
        </is>
      </c>
      <c r="B12" s="13">
        <f>SUMIF('Cálculos'!$B$2:$B$41,A12,'Cálculos'!$C$2:$C$41)</f>
        <v/>
      </c>
      <c r="C12" s="13">
        <f>SUMIF('Cálculos'!$B$2:$B$41,A12,'Cálculos'!$J$2:$J$41)</f>
        <v/>
      </c>
      <c r="E12" s="11" t="n">
        <v>46508</v>
      </c>
      <c r="F12" s="13">
        <f>SUMIF('Cálculos'!$L$2:$L$41,YEAR(E12)*100+MONTH(E12),'Cálculos'!$J$2:$J$41)</f>
        <v/>
      </c>
    </row>
    <row r="13">
      <c r="A13" s="12" t="inlineStr">
        <is>
          <t>Bebidas acima de 14% do código 2206.00.90</t>
        </is>
      </c>
      <c r="B13" s="13">
        <f>SUMIF('Cálculos'!$B$2:$B$41,A13,'Cálculos'!$C$2:$C$41)</f>
        <v/>
      </c>
      <c r="C13" s="13">
        <f>SUMIF('Cálculos'!$B$2:$B$41,A13,'Cálculos'!$J$2:$J$41)</f>
        <v/>
      </c>
      <c r="E13" s="11" t="n">
        <v>46539</v>
      </c>
      <c r="F13" s="13">
        <f>SUMIF('Cálculos'!$L$2:$L$41,YEAR(E13)*100+MONTH(E13),'Cálculos'!$J$2:$J$41)</f>
        <v/>
      </c>
    </row>
    <row r="14">
      <c r="A14" s="12" t="inlineStr">
        <is>
          <t>Bebidas refrescantes abaixo de 8% (2208.90.00)</t>
        </is>
      </c>
      <c r="B14" s="13">
        <f>SUMIF('Cálculos'!$B$2:$B$41,A14,'Cálculos'!$C$2:$C$41)</f>
        <v/>
      </c>
      <c r="C14" s="13">
        <f>SUMIF('Cálculos'!$B$2:$B$41,A14,'Cálculos'!$J$2:$J$41)</f>
        <v/>
      </c>
      <c r="E14" s="11" t="n">
        <v>46569</v>
      </c>
      <c r="F14" s="13">
        <f>SUMIF('Cálculos'!$L$2:$L$41,YEAR(E14)*100+MONTH(E14),'Cálculos'!$J$2:$J$41)</f>
        <v/>
      </c>
    </row>
    <row r="15">
      <c r="A15" s="12" t="inlineStr">
        <is>
          <t>Rum e aguardentes de cana (2208.40.00, exceto de melaço)</t>
        </is>
      </c>
      <c r="B15" s="13">
        <f>SUMIF('Cálculos'!$B$2:$B$41,A15,'Cálculos'!$C$2:$C$41)</f>
        <v/>
      </c>
      <c r="C15" s="13">
        <f>SUMIF('Cálculos'!$B$2:$B$41,A15,'Cálculos'!$J$2:$J$41)</f>
        <v/>
      </c>
      <c r="E15" s="11" t="n">
        <v>46600</v>
      </c>
      <c r="F15" s="13">
        <f>SUMIF('Cálculos'!$L$2:$L$41,YEAR(E15)*100+MONTH(E15),'Cálculos'!$J$2:$J$41)</f>
        <v/>
      </c>
    </row>
    <row r="16">
      <c r="A16" s="12" t="inlineStr">
        <is>
          <t>Demais bebidas da posição 22.08 (destilados)</t>
        </is>
      </c>
      <c r="B16" s="13">
        <f>SUMIF('Cálculos'!$B$2:$B$41,A16,'Cálculos'!$C$2:$C$41)</f>
        <v/>
      </c>
      <c r="C16" s="13">
        <f>SUMIF('Cálculos'!$B$2:$B$41,A16,'Cálculos'!$J$2:$J$41)</f>
        <v/>
      </c>
      <c r="E16" s="11" t="n">
        <v>46631</v>
      </c>
      <c r="F16" s="13">
        <f>SUMIF('Cálculos'!$L$2:$L$41,YEAR(E16)*100+MONTH(E16),'Cálculos'!$J$2:$J$41)</f>
        <v/>
      </c>
    </row>
    <row r="17">
      <c r="A17" s="12" t="inlineStr">
        <is>
          <t>Cigarros e cigarrilhas (art. 3º, § 1º, II)</t>
        </is>
      </c>
      <c r="B17" s="13">
        <f>SUMIF('Cálculos'!$B$2:$B$41,A17,'Cálculos'!$C$2:$C$41)</f>
        <v/>
      </c>
      <c r="C17" s="13">
        <f>SUMIF('Cálculos'!$B$2:$B$41,A17,'Cálculos'!$J$2:$J$41)</f>
        <v/>
      </c>
      <c r="E17" s="11" t="n">
        <v>46661</v>
      </c>
      <c r="F17" s="13">
        <f>SUMIF('Cálculos'!$L$2:$L$41,YEAR(E17)*100+MONTH(E17),'Cálculos'!$J$2:$J$41)</f>
        <v/>
      </c>
    </row>
    <row r="18">
      <c r="A18" s="12" t="inlineStr">
        <is>
          <t>Demais produtos fumígenos (24.01 a 24.04)</t>
        </is>
      </c>
      <c r="B18" s="13">
        <f>SUMIF('Cálculos'!$B$2:$B$41,A18,'Cálculos'!$C$2:$C$41)</f>
        <v/>
      </c>
      <c r="C18" s="13">
        <f>SUMIF('Cálculos'!$B$2:$B$41,A18,'Cálculos'!$J$2:$J$41)</f>
        <v/>
      </c>
      <c r="E18" s="11" t="n">
        <v>46692</v>
      </c>
      <c r="F18" s="13">
        <f>SUMIF('Cálculos'!$L$2:$L$41,YEAR(E18)*100+MONTH(E18),'Cálculos'!$J$2:$J$41)</f>
        <v/>
      </c>
    </row>
    <row r="19">
      <c r="A19" s="12" t="inlineStr">
        <is>
          <t>Aeronaves (88.02, exceto 8802.60.00)</t>
        </is>
      </c>
      <c r="B19" s="13">
        <f>SUMIF('Cálculos'!$B$2:$B$41,A19,'Cálculos'!$C$2:$C$41)</f>
        <v/>
      </c>
      <c r="C19" s="13">
        <f>SUMIF('Cálculos'!$B$2:$B$41,A19,'Cálculos'!$J$2:$J$41)</f>
        <v/>
      </c>
      <c r="E19" s="11" t="n">
        <v>46722</v>
      </c>
      <c r="F19" s="13">
        <f>SUMIF('Cálculos'!$L$2:$L$41,YEAR(E19)*100+MONTH(E19),'Cálculos'!$J$2:$J$41)</f>
        <v/>
      </c>
    </row>
    <row r="20">
      <c r="A20" s="12" t="inlineStr">
        <is>
          <t>Barcos a motor (8903.3)</t>
        </is>
      </c>
      <c r="B20" s="13">
        <f>SUMIF('Cálculos'!$B$2:$B$41,A20,'Cálculos'!$C$2:$C$41)</f>
        <v/>
      </c>
      <c r="C20" s="13">
        <f>SUMIF('Cálculos'!$B$2:$B$41,A20,'Cálculos'!$J$2:$J$41)</f>
        <v/>
      </c>
      <c r="E20" s="10" t="inlineStr">
        <is>
          <t>Janeiro/2027 deve ficar zerado: a MP produz efeitos a partir de 02/02/2027.</t>
        </is>
      </c>
    </row>
    <row r="21">
      <c r="A21" s="12" t="inlineStr">
        <is>
          <t>Demais embarcações de recreio ou esporte a motor (89.03)</t>
        </is>
      </c>
      <c r="B21" s="13">
        <f>SUMIF('Cálculos'!$B$2:$B$41,A21,'Cálculos'!$C$2:$C$41)</f>
        <v/>
      </c>
      <c r="C21" s="13">
        <f>SUMIF('Cálculos'!$B$2:$B$41,A21,'Cálculos'!$J$2:$J$41)</f>
        <v/>
      </c>
    </row>
    <row r="22">
      <c r="A22" s="12" t="inlineStr">
        <is>
          <t>Concursos de prognósticos</t>
        </is>
      </c>
      <c r="B22" s="13">
        <f>SUMIF('Cálculos'!$B$2:$B$41,A22,'Cálculos'!$C$2:$C$41)</f>
        <v/>
      </c>
      <c r="C22" s="13">
        <f>SUMIF('Cálculos'!$B$2:$B$41,A22,'Cálculos'!$J$2:$J$41)</f>
        <v/>
      </c>
    </row>
    <row r="23">
      <c r="A23" s="12" t="inlineStr">
        <is>
          <t>Bens minerais extraídos</t>
        </is>
      </c>
      <c r="B23" s="13">
        <f>SUMIF('Cálculos'!$B$2:$B$41,A23,'Cálculos'!$C$2:$C$41)</f>
        <v/>
      </c>
      <c r="C23" s="13">
        <f>SUMIF('Cálculos'!$B$2:$B$41,A23,'Cálculos'!$J$2:$J$41)</f>
        <v/>
      </c>
    </row>
    <row r="24">
      <c r="A24" s="12" t="inlineStr">
        <is>
          <t>Veículos (alíquota do Simulador)</t>
        </is>
      </c>
      <c r="B24" s="13">
        <f>SUMIF('Cálculos'!$B$2:$B$41,A24,'Cálculos'!$C$2:$C$41)</f>
        <v/>
      </c>
      <c r="C24" s="13">
        <f>SUMIF('Cálculos'!$B$2:$B$41,A24,'Cálculos'!$J$2:$J$41)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B2:B26"/>
  <sheetViews>
    <sheetView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2">
      <c r="B2" s="1" t="inlineStr">
        <is>
          <t>Memória de cálculo</t>
        </is>
      </c>
    </row>
    <row r="3">
      <c r="B3" s="3" t="inlineStr">
        <is>
          <t>ALÍQUOTA DOS PRODUTOS (aba Cálculos, colunas D a G)</t>
        </is>
      </c>
    </row>
    <row r="4">
      <c r="B4" s="2" t="inlineStr">
        <is>
          <t>• Alíquota da tabela = PROCV do produto na aba 'Tabelas MP 1.399'. Os valores são as alíquotas finais dos Anexos IV e V da MP, que já incluem o fator de conversão (art. 3º: alíquota final = alíquota inicial × fator de conversão).</t>
        </is>
      </c>
    </row>
    <row r="5">
      <c r="B5" s="2" t="inlineStr">
        <is>
          <t>• Alíquota usada = alíquota da tabela; para veículos, a alíquota informada na aba 'Dados Mensais' (vinda do Simulador).</t>
        </is>
      </c>
    </row>
    <row r="6">
      <c r="B6" s="2" t="inlineStr">
        <is>
          <t>• Redução pequeno produtor = percentual do Anexo VI (40%, 20% ou 10%), só para bebidas alcoólicas (art. 6º, IV). Alíquota efetiva = alíquota usada × (1 − redução).</t>
        </is>
      </c>
    </row>
    <row r="7">
      <c r="B7" s="2" t="inlineStr"/>
    </row>
    <row r="8">
      <c r="B8" s="3" t="inlineStr">
        <is>
          <t>IMPOSTO (colunas H a J)</t>
        </is>
      </c>
    </row>
    <row r="9">
      <c r="B9" s="2" t="inlineStr">
        <is>
          <t>• IS ad valorem = base de cálculo × alíquota efetiva.</t>
        </is>
      </c>
    </row>
    <row r="10">
      <c r="B10" s="2" t="inlineStr">
        <is>
          <t>• IS específico = vintenas × R$ 3,50, só para cigarros e cigarrilhas do art. 3º, § 1º, II. As demais específicas de bebidas e fumígenos estão reduzidas a zero até 31/12/2027 (art. 6º, II).</t>
        </is>
      </c>
    </row>
    <row r="11">
      <c r="B11" s="2" t="inlineStr">
        <is>
          <t>• IS total = ad valorem + específico.</t>
        </is>
      </c>
    </row>
    <row r="12">
      <c r="B12" s="2" t="inlineStr"/>
    </row>
    <row r="13">
      <c r="B13" s="3" t="inlineStr">
        <is>
          <t>VEÍCULOS (aba Simulador de Cenário)</t>
        </is>
      </c>
    </row>
    <row r="14">
      <c r="B14" s="2" t="inlineStr">
        <is>
          <t>• Alíquota inicial (AI) = alíquota-base do Anexo I (6,3% para a posição 87.03; 3,9% para os veículos de carga listados) + os cinco ajustes do Anexo II (87.03) ou III (8704): tecnologia, eficiência energética, potência, desempenho estrutural e reciclabilidade. Os ajustes estão em pontos percentuais e são divididos por 100.</t>
        </is>
      </c>
    </row>
    <row r="15">
      <c r="B15" s="2" t="inlineStr">
        <is>
          <t>• Potência: a faixa é escolhida contando quantos limites superiores ficam abaixo da potência informada (CONT.SE). Ex.: 80 kW em 87.03 cai na faixa 'até 85 kW', ajuste 0.</t>
        </is>
      </c>
    </row>
    <row r="16">
      <c r="B16" s="2" t="inlineStr">
        <is>
          <t>• Alíquota final (AF) = AI × 1,21 (Anexo V). IS = valor tributável × AF. Se a AI ficar zero ou negativa, o imposto aparece como zero e a planilha mostra alerta, porque a MP não trata esse caso.</t>
        </is>
      </c>
    </row>
    <row r="17">
      <c r="B17" s="2" t="inlineStr"/>
    </row>
    <row r="18">
      <c r="B18" s="3" t="inlineStr">
        <is>
          <t>DASHBOARD</t>
        </is>
      </c>
    </row>
    <row r="19">
      <c r="B19" s="2" t="inlineStr">
        <is>
          <t>• Soma por produto = SOMASE na coluna de produto da aba Cálculos.</t>
        </is>
      </c>
    </row>
    <row r="20">
      <c r="B20" s="2" t="inlineStr">
        <is>
          <t>• Soma por mês = SOMASE na chave auxiliar (ano × 100 + mês) da coluna L da aba Cálculos.</t>
        </is>
      </c>
    </row>
    <row r="21">
      <c r="B21" s="2" t="inlineStr"/>
    </row>
    <row r="22">
      <c r="B22" s="3" t="inlineStr">
        <is>
          <t>FONTES</t>
        </is>
      </c>
    </row>
    <row r="23">
      <c r="B23" s="2" t="inlineStr">
        <is>
          <t>• Medida Provisória nº 1.399, de 4 de novembro de 2026 — arts. 3º, 6º, 7º e 19; Anexos I a VI. https://www.planalto.gov.br/ccivil_03/_ato2023-2026/2026/mpv/mpv1399.htm</t>
        </is>
      </c>
    </row>
    <row r="24">
      <c r="B24" s="2" t="inlineStr">
        <is>
          <t>• Constituição Federal, art. 153, VIII e § 6º (Emenda Constitucional nº 132/2023) e art. 62, § 2º.</t>
        </is>
      </c>
    </row>
    <row r="25">
      <c r="B25" s="2" t="inlineStr"/>
    </row>
    <row r="26">
      <c r="B26" s="4" t="inlineStr">
        <is>
          <t>Material educativo. Não substitui a apuração oficial nem a análise de um profissional habilitado. Última atualização: 07/11/2026.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cols>
    <col width="58" customWidth="1" min="1" max="1"/>
    <col width="16" customWidth="1" min="2" max="2"/>
    <col width="14" customWidth="1" min="3" max="3"/>
    <col width="14" customWidth="1" min="4" max="4"/>
    <col width="26" customWidth="1" min="5" max="5"/>
    <col width="38" customWidth="1" min="7" max="7"/>
    <col width="16" customWidth="1" min="8" max="8"/>
  </cols>
  <sheetData>
    <row r="1">
      <c r="A1" s="17" t="inlineStr">
        <is>
          <t>Tabelas da Medida Provisória nº 1.399/2026 (alíquotas de 2027)</t>
        </is>
      </c>
    </row>
    <row r="3">
      <c r="A3" s="5" t="inlineStr">
        <is>
          <t>Produto</t>
        </is>
      </c>
      <c r="B3" s="5" t="inlineStr">
        <is>
          <t>Alíquota ad valorem final</t>
        </is>
      </c>
      <c r="C3" s="5" t="inlineStr">
        <is>
          <t>Específica (R$)</t>
        </is>
      </c>
      <c r="D3" s="5" t="inlineStr">
        <is>
          <t>Bebida alcoólica?</t>
        </is>
      </c>
      <c r="E3" s="5" t="inlineStr">
        <is>
          <t>Base legal (MP 1.399)</t>
        </is>
      </c>
      <c r="G3" s="5" t="inlineStr">
        <is>
          <t>Faixa de pequeno produtor (Anexo VI)</t>
        </is>
      </c>
      <c r="H3" s="5" t="inlineStr">
        <is>
          <t>Redução da alíquota</t>
        </is>
      </c>
    </row>
    <row r="4">
      <c r="A4" s="12" t="inlineStr">
        <is>
          <t>Bebidas açucaradas (NCM 2202.10.00)</t>
        </is>
      </c>
      <c r="B4" s="14" t="n">
        <v>0.026</v>
      </c>
      <c r="C4" s="13" t="n">
        <v>0</v>
      </c>
      <c r="D4" s="12" t="inlineStr">
        <is>
          <t>Não</t>
        </is>
      </c>
      <c r="E4" s="12" t="inlineStr">
        <is>
          <t>Anexo IV</t>
        </is>
      </c>
      <c r="G4" s="12" t="inlineStr">
        <is>
          <t>Não se aplica</t>
        </is>
      </c>
      <c r="H4" s="26" t="n">
        <v>0</v>
      </c>
    </row>
    <row r="5">
      <c r="A5" s="12" t="inlineStr">
        <is>
          <t>Cervejas de malte (NCM 22.03)</t>
        </is>
      </c>
      <c r="B5" s="14" t="n">
        <v>0.042</v>
      </c>
      <c r="C5" s="13" t="n">
        <v>0</v>
      </c>
      <c r="D5" s="12" t="inlineStr">
        <is>
          <t>Sim</t>
        </is>
      </c>
      <c r="E5" s="12" t="inlineStr">
        <is>
          <t>Anexo IV</t>
        </is>
      </c>
      <c r="G5" s="12" t="inlineStr">
        <is>
          <t>Até 50.000 litros de álcool</t>
        </is>
      </c>
      <c r="H5" s="26" t="n">
        <v>0.4</v>
      </c>
    </row>
    <row r="6">
      <c r="A6" s="12" t="inlineStr">
        <is>
          <t>Vinhos e fermentados (22.04 e 22.06, regra geral)</t>
        </is>
      </c>
      <c r="B6" s="14" t="n">
        <v>0.08</v>
      </c>
      <c r="C6" s="13" t="n">
        <v>0</v>
      </c>
      <c r="D6" s="12" t="inlineStr">
        <is>
          <t>Sim</t>
        </is>
      </c>
      <c r="E6" s="12" t="inlineStr">
        <is>
          <t>Anexo IV</t>
        </is>
      </c>
      <c r="G6" s="12" t="inlineStr">
        <is>
          <t>Acima de 50.000 até 125.000 litros</t>
        </is>
      </c>
      <c r="H6" s="26" t="n">
        <v>0.2</v>
      </c>
    </row>
    <row r="7">
      <c r="A7" s="12" t="inlineStr">
        <is>
          <t>Vermutes e demais da posição 22.05</t>
        </is>
      </c>
      <c r="B7" s="14" t="n">
        <v>0.12</v>
      </c>
      <c r="C7" s="13" t="n">
        <v>0</v>
      </c>
      <c r="D7" s="12" t="inlineStr">
        <is>
          <t>Sim</t>
        </is>
      </c>
      <c r="E7" s="12" t="inlineStr">
        <is>
          <t>Anexo IV</t>
        </is>
      </c>
      <c r="G7" s="12" t="inlineStr">
        <is>
          <t>Acima de 125.000 até 250.000 litros</t>
        </is>
      </c>
      <c r="H7" s="26" t="n">
        <v>0.1</v>
      </c>
    </row>
    <row r="8">
      <c r="A8" s="12" t="inlineStr">
        <is>
          <t>Vinhos da madeira, do porto e de xerez</t>
        </is>
      </c>
      <c r="B8" s="14" t="n">
        <v>0.16</v>
      </c>
      <c r="C8" s="13" t="n">
        <v>0</v>
      </c>
      <c r="D8" s="12" t="inlineStr">
        <is>
          <t>Sim</t>
        </is>
      </c>
      <c r="E8" s="12" t="inlineStr">
        <is>
          <t>Anexo IV</t>
        </is>
      </c>
      <c r="G8" s="10" t="inlineStr">
        <is>
          <t>Volume de álcool fornecido no ano anterior (litros × teor alcoólico).</t>
        </is>
      </c>
    </row>
    <row r="9">
      <c r="A9" s="12" t="inlineStr">
        <is>
          <t>Bebidas acima de 14% do código 2206.00.90</t>
        </is>
      </c>
      <c r="B9" s="14" t="n">
        <v>0.16</v>
      </c>
      <c r="C9" s="13" t="n">
        <v>0</v>
      </c>
      <c r="D9" s="12" t="inlineStr">
        <is>
          <t>Sim</t>
        </is>
      </c>
      <c r="E9" s="12" t="inlineStr">
        <is>
          <t>Anexo IV</t>
        </is>
      </c>
    </row>
    <row r="10">
      <c r="A10" s="12" t="inlineStr">
        <is>
          <t>Bebidas refrescantes abaixo de 8% (2208.90.00)</t>
        </is>
      </c>
      <c r="B10" s="14" t="n">
        <v>0.16</v>
      </c>
      <c r="C10" s="13" t="n">
        <v>0</v>
      </c>
      <c r="D10" s="12" t="inlineStr">
        <is>
          <t>Sim</t>
        </is>
      </c>
      <c r="E10" s="12" t="inlineStr">
        <is>
          <t>Anexo IV</t>
        </is>
      </c>
      <c r="G10" s="5" t="inlineStr">
        <is>
          <t>Posição do veículo (Anexo I)</t>
        </is>
      </c>
      <c r="H10" s="5" t="inlineStr">
        <is>
          <t>Alíquota-base</t>
        </is>
      </c>
    </row>
    <row r="11">
      <c r="A11" s="12" t="inlineStr">
        <is>
          <t>Rum e aguardentes de cana (2208.40.00, exceto de melaço)</t>
        </is>
      </c>
      <c r="B11" s="14" t="n">
        <v>0.2</v>
      </c>
      <c r="C11" s="13" t="n">
        <v>0</v>
      </c>
      <c r="D11" s="12" t="inlineStr">
        <is>
          <t>Sim</t>
        </is>
      </c>
      <c r="E11" s="12" t="inlineStr">
        <is>
          <t>Anexo IV</t>
        </is>
      </c>
      <c r="G11" s="12" t="inlineStr">
        <is>
          <t>87.03 — automóveis de passageiros</t>
        </is>
      </c>
      <c r="H11" s="14" t="n">
        <v>0.063</v>
      </c>
    </row>
    <row r="12">
      <c r="A12" s="12" t="inlineStr">
        <is>
          <t>Demais bebidas da posição 22.08 (destilados)</t>
        </is>
      </c>
      <c r="B12" s="14" t="n">
        <v>0.24</v>
      </c>
      <c r="C12" s="13" t="n">
        <v>0</v>
      </c>
      <c r="D12" s="12" t="inlineStr">
        <is>
          <t>Sim</t>
        </is>
      </c>
      <c r="E12" s="12" t="inlineStr">
        <is>
          <t>Anexo IV</t>
        </is>
      </c>
      <c r="G12" s="12" t="inlineStr">
        <is>
          <t>8704 — veículos de carga listados no Anexo I</t>
        </is>
      </c>
      <c r="H12" s="14" t="n">
        <v>0.039</v>
      </c>
    </row>
    <row r="13">
      <c r="A13" s="12" t="inlineStr">
        <is>
          <t>Cigarros e cigarrilhas (art. 3º, § 1º, II)</t>
        </is>
      </c>
      <c r="B13" s="14" t="n">
        <v>0.667</v>
      </c>
      <c r="C13" s="13" t="n">
        <v>3.5</v>
      </c>
      <c r="D13" s="12" t="inlineStr">
        <is>
          <t>Não</t>
        </is>
      </c>
      <c r="E13" s="12" t="inlineStr">
        <is>
          <t>Anexo IV</t>
        </is>
      </c>
    </row>
    <row r="14">
      <c r="A14" s="12" t="inlineStr">
        <is>
          <t>Demais produtos fumígenos (24.01 a 24.04)</t>
        </is>
      </c>
      <c r="B14" s="14" t="n">
        <v>0.375</v>
      </c>
      <c r="C14" s="13" t="n">
        <v>0</v>
      </c>
      <c r="D14" s="12" t="inlineStr">
        <is>
          <t>Não</t>
        </is>
      </c>
      <c r="E14" s="12" t="inlineStr">
        <is>
          <t>Anexo IV; art. 6º, II</t>
        </is>
      </c>
    </row>
    <row r="15">
      <c r="A15" s="12" t="inlineStr">
        <is>
          <t>Aeronaves (88.02, exceto 8802.60.00)</t>
        </is>
      </c>
      <c r="B15" s="14" t="n">
        <v>0.068</v>
      </c>
      <c r="C15" s="13" t="n">
        <v>0</v>
      </c>
      <c r="D15" s="12" t="inlineStr">
        <is>
          <t>Não</t>
        </is>
      </c>
      <c r="E15" s="12" t="inlineStr">
        <is>
          <t>Anexo V</t>
        </is>
      </c>
    </row>
    <row r="16">
      <c r="A16" s="12" t="inlineStr">
        <is>
          <t>Barcos a motor (8903.3)</t>
        </is>
      </c>
      <c r="B16" s="14" t="n">
        <v>0.12</v>
      </c>
      <c r="C16" s="13" t="n">
        <v>0</v>
      </c>
      <c r="D16" s="12" t="inlineStr">
        <is>
          <t>Não</t>
        </is>
      </c>
      <c r="E16" s="12" t="inlineStr">
        <is>
          <t>Anexo V</t>
        </is>
      </c>
    </row>
    <row r="17">
      <c r="A17" s="12" t="inlineStr">
        <is>
          <t>Demais embarcações de recreio ou esporte a motor (89.03)</t>
        </is>
      </c>
      <c r="B17" s="14" t="n">
        <v>0.078</v>
      </c>
      <c r="C17" s="13" t="n">
        <v>0</v>
      </c>
      <c r="D17" s="12" t="inlineStr">
        <is>
          <t>Não</t>
        </is>
      </c>
      <c r="E17" s="12" t="inlineStr">
        <is>
          <t>Anexo V</t>
        </is>
      </c>
    </row>
    <row r="18">
      <c r="A18" s="12" t="inlineStr">
        <is>
          <t>Concursos de prognósticos</t>
        </is>
      </c>
      <c r="B18" s="14" t="n">
        <v>0.005</v>
      </c>
      <c r="C18" s="13" t="n">
        <v>0</v>
      </c>
      <c r="D18" s="12" t="inlineStr">
        <is>
          <t>Não</t>
        </is>
      </c>
      <c r="E18" s="12" t="inlineStr">
        <is>
          <t>Art. 7º</t>
        </is>
      </c>
    </row>
    <row r="19">
      <c r="A19" s="12" t="inlineStr">
        <is>
          <t>Bens minerais extraídos</t>
        </is>
      </c>
      <c r="B19" s="14" t="n">
        <v>0</v>
      </c>
      <c r="C19" s="13" t="n">
        <v>0</v>
      </c>
      <c r="D19" s="12" t="inlineStr">
        <is>
          <t>Não</t>
        </is>
      </c>
      <c r="E19" s="12" t="inlineStr">
        <is>
          <t>Art. 6º, III, a, 3</t>
        </is>
      </c>
    </row>
    <row r="20">
      <c r="A20" s="12" t="inlineStr">
        <is>
          <t>Veículos (alíquota do Simulador)</t>
        </is>
      </c>
      <c r="B20" s="14" t="n"/>
      <c r="C20" s="13" t="n">
        <v>0</v>
      </c>
      <c r="D20" s="12" t="inlineStr">
        <is>
          <t>Não</t>
        </is>
      </c>
      <c r="E20" s="12" t="inlineStr">
        <is>
          <t>Anexos I, II, III e V</t>
        </is>
      </c>
    </row>
    <row r="21">
      <c r="A21" s="10" t="inlineStr">
        <is>
          <t>Cigarros: R$ 3,50 de alíquota específica, além da ad valorem, segundo o regime 'por vintena' a que o art. 3º, § 1º, II, remete. Demais específicas zeradas até 31/12/2027 (art. 6º, II).</t>
        </is>
      </c>
    </row>
    <row r="23">
      <c r="A23" s="15" t="inlineStr">
        <is>
          <t>Critério 1 — Fonte de energia e tecnologia de propulsão (Anexos II e III)</t>
        </is>
      </c>
    </row>
    <row r="24">
      <c r="A24" s="5" t="inlineStr">
        <is>
          <t>Tecnologia</t>
        </is>
      </c>
      <c r="B24" s="5" t="inlineStr">
        <is>
          <t>Ajuste 87.03 (p.p.)</t>
        </is>
      </c>
      <c r="C24" s="5" t="inlineStr">
        <is>
          <t>Ajuste 8704 (p.p.)</t>
        </is>
      </c>
    </row>
    <row r="25">
      <c r="A25" s="12" t="inlineStr">
        <is>
          <t>Elétrico</t>
        </is>
      </c>
      <c r="B25" s="27" t="n">
        <v>-2</v>
      </c>
      <c r="C25" s="27" t="n">
        <v>-2</v>
      </c>
    </row>
    <row r="26">
      <c r="A26" s="12" t="inlineStr">
        <is>
          <t>Híbrido recarregável flex-fuel/etanol</t>
        </is>
      </c>
      <c r="B26" s="27" t="n">
        <v>-2</v>
      </c>
      <c r="C26" s="27" t="n">
        <v>-2</v>
      </c>
    </row>
    <row r="27">
      <c r="A27" s="12" t="inlineStr">
        <is>
          <t>Híbrido completo flex-fuel/etanol</t>
        </is>
      </c>
      <c r="B27" s="27" t="n">
        <v>-1.5</v>
      </c>
      <c r="C27" s="27" t="n">
        <v>-1.5</v>
      </c>
    </row>
    <row r="28">
      <c r="A28" s="12" t="inlineStr">
        <is>
          <t>Híbrido leve flex-fuel/etanol</t>
        </is>
      </c>
      <c r="B28" s="27" t="n">
        <v>-1</v>
      </c>
      <c r="C28" s="27" t="n">
        <v>-1</v>
      </c>
    </row>
    <row r="29">
      <c r="A29" s="12" t="inlineStr">
        <is>
          <t>Etanol</t>
        </is>
      </c>
      <c r="B29" s="27" t="n">
        <v>-0.5</v>
      </c>
      <c r="C29" s="27" t="n">
        <v>-0.5</v>
      </c>
    </row>
    <row r="30">
      <c r="A30" s="12" t="inlineStr">
        <is>
          <t>Flex-fuel</t>
        </is>
      </c>
      <c r="B30" s="27" t="n">
        <v>0</v>
      </c>
      <c r="C30" s="27" t="n">
        <v>0</v>
      </c>
    </row>
    <row r="31">
      <c r="A31" s="12" t="inlineStr">
        <is>
          <t>Híbrido recarregável gasolina</t>
        </is>
      </c>
      <c r="B31" s="27" t="n">
        <v>2</v>
      </c>
      <c r="C31" s="27" t="n">
        <v>0.5</v>
      </c>
    </row>
    <row r="32">
      <c r="A32" s="12" t="inlineStr">
        <is>
          <t>Híbrido completo gasolina</t>
        </is>
      </c>
      <c r="B32" s="27" t="n">
        <v>3</v>
      </c>
      <c r="C32" s="27" t="n">
        <v>1</v>
      </c>
    </row>
    <row r="33">
      <c r="A33" s="12" t="inlineStr">
        <is>
          <t>Híbrido leve gasolina</t>
        </is>
      </c>
      <c r="B33" s="27" t="n">
        <v>4.5</v>
      </c>
      <c r="C33" s="27" t="n">
        <v>1.75</v>
      </c>
    </row>
    <row r="34">
      <c r="A34" s="12" t="inlineStr">
        <is>
          <t>Híbrido recarregável diesel</t>
        </is>
      </c>
      <c r="B34" s="27" t="n">
        <v>3</v>
      </c>
      <c r="C34" s="27" t="n">
        <v>1</v>
      </c>
    </row>
    <row r="35">
      <c r="A35" s="12" t="inlineStr">
        <is>
          <t>Híbrido completo diesel</t>
        </is>
      </c>
      <c r="B35" s="27" t="n">
        <v>4</v>
      </c>
      <c r="C35" s="27" t="n">
        <v>1.5</v>
      </c>
    </row>
    <row r="36">
      <c r="A36" s="12" t="inlineStr">
        <is>
          <t>Híbrido leve diesel</t>
        </is>
      </c>
      <c r="B36" s="27" t="n">
        <v>5.5</v>
      </c>
      <c r="C36" s="27" t="n">
        <v>2</v>
      </c>
    </row>
    <row r="37">
      <c r="A37" s="12" t="inlineStr">
        <is>
          <t>Gasolina</t>
        </is>
      </c>
      <c r="B37" s="27" t="n">
        <v>6.5</v>
      </c>
      <c r="C37" s="27" t="n">
        <v>2.25</v>
      </c>
    </row>
    <row r="38">
      <c r="A38" s="12" t="inlineStr">
        <is>
          <t>Diesel</t>
        </is>
      </c>
      <c r="B38" s="27" t="n">
        <v>12</v>
      </c>
      <c r="C38" s="27" t="n">
        <v>2.5</v>
      </c>
    </row>
    <row r="40">
      <c r="A40" s="15" t="inlineStr">
        <is>
          <t>Critério 3 — Potência do sistema de propulsão (kW)</t>
        </is>
      </c>
    </row>
    <row r="41">
      <c r="A41" s="5" t="inlineStr">
        <is>
          <t>Faixa 87.03 (limite superior, kW)</t>
        </is>
      </c>
      <c r="B41" s="5" t="inlineStr">
        <is>
          <t>Ajuste 87.03 (p.p.)</t>
        </is>
      </c>
      <c r="C41" s="5" t="inlineStr">
        <is>
          <t>Faixa 8704 (limite superior, kW)</t>
        </is>
      </c>
      <c r="D41" s="5" t="inlineStr">
        <is>
          <t>Ajuste 8704 (p.p.)</t>
        </is>
      </c>
    </row>
    <row r="42">
      <c r="A42" t="n">
        <v>55</v>
      </c>
      <c r="B42" s="27" t="n">
        <v>-2.15</v>
      </c>
      <c r="C42" t="n">
        <v>85</v>
      </c>
      <c r="D42" s="27" t="n">
        <v>-0.25</v>
      </c>
    </row>
    <row r="43">
      <c r="A43" t="n">
        <v>66</v>
      </c>
      <c r="B43" s="27" t="n">
        <v>-1.75</v>
      </c>
      <c r="C43" t="n">
        <v>105</v>
      </c>
      <c r="D43" s="27" t="n">
        <v>0</v>
      </c>
    </row>
    <row r="44">
      <c r="A44" t="n">
        <v>72</v>
      </c>
      <c r="B44" s="27" t="n">
        <v>-0.25</v>
      </c>
      <c r="C44" t="n">
        <v>132</v>
      </c>
      <c r="D44" s="27" t="n">
        <v>0.25</v>
      </c>
    </row>
    <row r="45">
      <c r="A45" t="n">
        <v>85</v>
      </c>
      <c r="B45" s="27" t="n">
        <v>0</v>
      </c>
      <c r="C45" t="n">
        <v>165</v>
      </c>
      <c r="D45" s="27" t="n">
        <v>0.5</v>
      </c>
    </row>
    <row r="46">
      <c r="A46" t="n">
        <v>105</v>
      </c>
      <c r="B46" s="27" t="n">
        <v>0.75</v>
      </c>
      <c r="C46" t="n">
        <v>240</v>
      </c>
      <c r="D46" s="27" t="n">
        <v>1</v>
      </c>
    </row>
    <row r="47">
      <c r="A47" t="n">
        <v>132</v>
      </c>
      <c r="B47" s="27" t="n">
        <v>1.5</v>
      </c>
      <c r="C47" t="n">
        <v>290</v>
      </c>
      <c r="D47" s="27" t="n">
        <v>2</v>
      </c>
    </row>
    <row r="48">
      <c r="A48" t="n">
        <v>165</v>
      </c>
      <c r="B48" s="27" t="n">
        <v>3</v>
      </c>
      <c r="C48" t="inlineStr">
        <is>
          <t>acima de 290</t>
        </is>
      </c>
      <c r="D48" s="27" t="n">
        <v>3</v>
      </c>
    </row>
    <row r="49">
      <c r="A49" t="n">
        <v>200</v>
      </c>
      <c r="B49" s="27" t="n">
        <v>3.5</v>
      </c>
    </row>
    <row r="50">
      <c r="A50" t="n">
        <v>240</v>
      </c>
      <c r="B50" s="27" t="n">
        <v>4</v>
      </c>
    </row>
    <row r="51">
      <c r="A51" t="n">
        <v>290</v>
      </c>
      <c r="B51" s="27" t="n">
        <v>6.25</v>
      </c>
    </row>
    <row r="52">
      <c r="A52" t="inlineStr">
        <is>
          <t>acima de 290</t>
        </is>
      </c>
      <c r="B52" s="27" t="n">
        <v>6.5</v>
      </c>
    </row>
    <row r="54">
      <c r="A54" s="15" t="inlineStr">
        <is>
          <t>Critério 2 — Eficiência energética</t>
        </is>
      </c>
    </row>
    <row r="55">
      <c r="A55" s="5" t="inlineStr">
        <is>
          <t>Condição</t>
        </is>
      </c>
      <c r="B55" s="5" t="inlineStr">
        <is>
          <t>Ajuste (p.p.)</t>
        </is>
      </c>
    </row>
    <row r="56">
      <c r="A56" s="12" t="inlineStr">
        <is>
          <t>Atende ao item 2 do Anexo III do Decreto 12.549/2025</t>
        </is>
      </c>
      <c r="B56" s="27" t="n">
        <v>-2</v>
      </c>
    </row>
    <row r="57">
      <c r="A57" s="12" t="inlineStr">
        <is>
          <t>Atende ao item 3 do Anexo III do Decreto 12.549/2025</t>
        </is>
      </c>
      <c r="B57" s="27" t="n">
        <v>-1</v>
      </c>
    </row>
    <row r="58">
      <c r="A58" s="12" t="inlineStr">
        <is>
          <t>Não atende ao item 2 nem ao item 3</t>
        </is>
      </c>
      <c r="B58" s="27" t="n">
        <v>0</v>
      </c>
    </row>
    <row r="60">
      <c r="A60" s="15" t="inlineStr">
        <is>
          <t>Critério 4 — Desempenho estrutural e tecnologias assistivas</t>
        </is>
      </c>
    </row>
    <row r="61">
      <c r="A61" s="5" t="inlineStr">
        <is>
          <t>Condição</t>
        </is>
      </c>
      <c r="B61" s="5" t="inlineStr">
        <is>
          <t>Ajuste (p.p.)</t>
        </is>
      </c>
    </row>
    <row r="62">
      <c r="A62" s="12" t="inlineStr">
        <is>
          <t>Atende ao item 2 do Anexo IV do Decreto 12.549/2025</t>
        </is>
      </c>
      <c r="B62" s="27" t="n">
        <v>-1</v>
      </c>
    </row>
    <row r="63">
      <c r="A63" s="12" t="inlineStr">
        <is>
          <t>Não atende</t>
        </is>
      </c>
      <c r="B63" s="27" t="n">
        <v>0</v>
      </c>
    </row>
    <row r="65">
      <c r="A65" s="15" t="inlineStr">
        <is>
          <t>Critério 5 — Reciclabilidade veicular</t>
        </is>
      </c>
    </row>
    <row r="66">
      <c r="A66" s="5" t="inlineStr">
        <is>
          <t>Condição</t>
        </is>
      </c>
      <c r="B66" s="5" t="inlineStr">
        <is>
          <t>Ajuste (p.p.)</t>
        </is>
      </c>
    </row>
    <row r="67">
      <c r="A67" s="12" t="inlineStr">
        <is>
          <t>Atende ao item 17 do Anexo III do Decreto 12.435/2025</t>
        </is>
      </c>
      <c r="B67" s="27" t="n">
        <v>-2</v>
      </c>
    </row>
    <row r="68">
      <c r="A68" s="12" t="inlineStr">
        <is>
          <t>Atende ao item 18 do Anexo III do Decreto 12.435/2025</t>
        </is>
      </c>
      <c r="B68" s="27" t="n">
        <v>-1</v>
      </c>
    </row>
    <row r="69">
      <c r="A69" s="12" t="inlineStr">
        <is>
          <t>Não atende ao item 17 nem ao item 18</t>
        </is>
      </c>
      <c r="B69" s="27" t="n">
        <v>0</v>
      </c>
    </row>
    <row r="71">
      <c r="A71" s="15" t="inlineStr">
        <is>
          <t>Fator de conversão dos veículos (Anexo V)</t>
        </is>
      </c>
      <c r="B71" t="n">
        <v>1.21</v>
      </c>
    </row>
    <row r="72">
      <c r="A72" s="10" t="inlineStr">
        <is>
          <t>Alíquota final do veículo = alíquota inicial (base + ajustes) × 1,21 (art. 3º e Anexo V).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2026-11-07T23:18:35Z</dcterms:created>
  <dcterms:modified xsi:type="dcterms:W3CDTF">2026-11-07T23:18:35Z</dcterms:modified>
</cp:coreProperties>
</file>